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E:\Books\Breaking New Ground\Resources\"/>
    </mc:Choice>
  </mc:AlternateContent>
  <xr:revisionPtr revIDLastSave="0" documentId="13_ncr:1_{787A98D6-B207-47D4-A397-DAAD553F5B82}" xr6:coauthVersionLast="47" xr6:coauthVersionMax="47" xr10:uidLastSave="{00000000-0000-0000-0000-000000000000}"/>
  <bookViews>
    <workbookView xWindow="795" yWindow="555" windowWidth="27525" windowHeight="15780" activeTab="2" xr2:uid="{7D7B62A0-DDA9-42DF-A0C5-4E97FC30FCDE}"/>
  </bookViews>
  <sheets>
    <sheet name="README" sheetId="17" r:id="rId1"/>
    <sheet name="License" sheetId="18" r:id="rId2"/>
    <sheet name="P&amp;L" sheetId="13" r:id="rId3"/>
    <sheet name="Cashflow" sheetId="15" r:id="rId4"/>
    <sheet name="Sell" sheetId="12" r:id="rId5"/>
    <sheet name="Valuation" sheetId="16" r:id="rId6"/>
  </sheets>
  <definedNames>
    <definedName name="_xlnm._FilterDatabase" localSheetId="4" hidden="1">Sell!$A$3:$H$26</definedName>
    <definedName name="_xlnm.Print_Area" localSheetId="3">Cashflow!$A$2:$Q$38</definedName>
    <definedName name="_xlnm.Print_Area" localSheetId="2">'P&amp;L'!$A$1:$E$39</definedName>
    <definedName name="_xlnm.Print_Area" localSheetId="4">Sell!$A$1:$I$37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3" i="13" l="1"/>
  <c r="J23" i="15"/>
  <c r="D31" i="12"/>
  <c r="D36" i="12" s="1"/>
  <c r="B2" i="13"/>
  <c r="L31" i="15"/>
  <c r="M31" i="15"/>
  <c r="N31" i="15"/>
  <c r="O31" i="15"/>
  <c r="P31" i="15"/>
  <c r="D17" i="13"/>
  <c r="D9" i="16"/>
  <c r="D18" i="16"/>
  <c r="I26" i="12"/>
  <c r="G24" i="12"/>
  <c r="H24" i="12"/>
  <c r="C24" i="12"/>
  <c r="G23" i="12"/>
  <c r="H23" i="12" s="1"/>
  <c r="C23" i="12"/>
  <c r="G22" i="12"/>
  <c r="H22" i="12"/>
  <c r="C22" i="12"/>
  <c r="G21" i="12"/>
  <c r="H21" i="12"/>
  <c r="C21" i="12"/>
  <c r="G20" i="12"/>
  <c r="H20" i="12"/>
  <c r="C20" i="12"/>
  <c r="G19" i="12"/>
  <c r="H19" i="12"/>
  <c r="C19" i="12"/>
  <c r="G18" i="12"/>
  <c r="H18" i="12" s="1"/>
  <c r="C18" i="12"/>
  <c r="G15" i="12"/>
  <c r="H15" i="12"/>
  <c r="G14" i="12"/>
  <c r="H14" i="12" s="1"/>
  <c r="C14" i="12"/>
  <c r="D2" i="15"/>
  <c r="E2" i="15"/>
  <c r="F2" i="15"/>
  <c r="G2" i="15"/>
  <c r="H2" i="15"/>
  <c r="I2" i="15"/>
  <c r="J2" i="15"/>
  <c r="K2" i="15"/>
  <c r="L2" i="15"/>
  <c r="M2" i="15"/>
  <c r="N2" i="15"/>
  <c r="O2" i="15"/>
  <c r="P2" i="15"/>
  <c r="Q2" i="15"/>
  <c r="C2" i="15"/>
  <c r="H28" i="13"/>
  <c r="B28" i="15"/>
  <c r="D9" i="13"/>
  <c r="I10" i="13" s="1"/>
  <c r="C10" i="15" s="1"/>
  <c r="D19" i="15"/>
  <c r="D61" i="12"/>
  <c r="I20" i="13"/>
  <c r="C20" i="15"/>
  <c r="I8" i="13"/>
  <c r="C8" i="15"/>
  <c r="Q22" i="13"/>
  <c r="K22" i="15" s="1"/>
  <c r="R22" i="13"/>
  <c r="L22" i="15"/>
  <c r="S22" i="13"/>
  <c r="M22" i="15" s="1"/>
  <c r="T22" i="13"/>
  <c r="N22" i="15" s="1"/>
  <c r="P22" i="13"/>
  <c r="J22" i="15"/>
  <c r="R23" i="13"/>
  <c r="R13" i="13" s="1"/>
  <c r="L13" i="15" s="1"/>
  <c r="L23" i="15"/>
  <c r="S23" i="13"/>
  <c r="M23" i="15" s="1"/>
  <c r="K31" i="15"/>
  <c r="J31" i="15"/>
  <c r="E59" i="12"/>
  <c r="B59" i="12"/>
  <c r="E58" i="12"/>
  <c r="B58" i="12"/>
  <c r="E57" i="12"/>
  <c r="B57" i="12"/>
  <c r="E56" i="12"/>
  <c r="B56" i="12"/>
  <c r="B55" i="12"/>
  <c r="C55" i="12"/>
  <c r="E55" i="12" s="1"/>
  <c r="B54" i="12"/>
  <c r="C54" i="12" s="1"/>
  <c r="E54" i="12" s="1"/>
  <c r="E61" i="12" s="1"/>
  <c r="C53" i="12"/>
  <c r="E53" i="12"/>
  <c r="C52" i="12"/>
  <c r="E52" i="12"/>
  <c r="B51" i="12"/>
  <c r="B61" i="12" s="1"/>
  <c r="C51" i="12"/>
  <c r="C61" i="12" s="1"/>
  <c r="E51" i="12"/>
  <c r="E48" i="12"/>
  <c r="E47" i="12"/>
  <c r="E46" i="12"/>
  <c r="C45" i="12"/>
  <c r="E44" i="12"/>
  <c r="B44" i="12"/>
  <c r="E43" i="12"/>
  <c r="B43" i="12"/>
  <c r="E42" i="12"/>
  <c r="Q28" i="15"/>
  <c r="P28" i="15"/>
  <c r="I23" i="15"/>
  <c r="H23" i="15"/>
  <c r="G23" i="15"/>
  <c r="F23" i="15"/>
  <c r="E23" i="15"/>
  <c r="D23" i="15"/>
  <c r="C23" i="15"/>
  <c r="Q22" i="15"/>
  <c r="P22" i="15"/>
  <c r="O22" i="15"/>
  <c r="I22" i="15"/>
  <c r="H22" i="15"/>
  <c r="G22" i="15"/>
  <c r="F22" i="15"/>
  <c r="E22" i="15"/>
  <c r="D22" i="15"/>
  <c r="C22" i="15"/>
  <c r="Q20" i="15"/>
  <c r="P20" i="15"/>
  <c r="O20" i="15"/>
  <c r="N20" i="15"/>
  <c r="M20" i="15"/>
  <c r="L20" i="15"/>
  <c r="K20" i="15"/>
  <c r="J20" i="15"/>
  <c r="I20" i="15"/>
  <c r="H20" i="15"/>
  <c r="G20" i="15"/>
  <c r="F20" i="15"/>
  <c r="E20" i="15"/>
  <c r="D20" i="15"/>
  <c r="Q19" i="15"/>
  <c r="P19" i="15"/>
  <c r="O19" i="15"/>
  <c r="N19" i="15"/>
  <c r="M19" i="15"/>
  <c r="L19" i="15"/>
  <c r="K19" i="15"/>
  <c r="J19" i="15"/>
  <c r="I19" i="15"/>
  <c r="H19" i="15"/>
  <c r="G19" i="15"/>
  <c r="F19" i="15"/>
  <c r="E19" i="15"/>
  <c r="D6" i="15"/>
  <c r="E6" i="15"/>
  <c r="F6" i="15"/>
  <c r="G6" i="15"/>
  <c r="H6" i="15"/>
  <c r="I6" i="15"/>
  <c r="J6" i="15"/>
  <c r="K6" i="15"/>
  <c r="L6" i="15"/>
  <c r="M6" i="15"/>
  <c r="N6" i="15"/>
  <c r="O6" i="15"/>
  <c r="P6" i="15"/>
  <c r="Q6" i="15"/>
  <c r="N7" i="15"/>
  <c r="O7" i="15"/>
  <c r="P7" i="15"/>
  <c r="Q7" i="15"/>
  <c r="E8" i="15"/>
  <c r="O8" i="15"/>
  <c r="P8" i="15"/>
  <c r="Q8" i="15"/>
  <c r="D10" i="15"/>
  <c r="E10" i="15"/>
  <c r="F10" i="15"/>
  <c r="G10" i="15"/>
  <c r="H10" i="15"/>
  <c r="I10" i="15"/>
  <c r="J10" i="15"/>
  <c r="K10" i="15"/>
  <c r="L10" i="15"/>
  <c r="M10" i="15"/>
  <c r="N10" i="15"/>
  <c r="O10" i="15"/>
  <c r="P10" i="15"/>
  <c r="Q10" i="15"/>
  <c r="D11" i="15"/>
  <c r="E11" i="15"/>
  <c r="F11" i="15"/>
  <c r="G11" i="15"/>
  <c r="H11" i="15"/>
  <c r="I11" i="15"/>
  <c r="J11" i="15"/>
  <c r="K11" i="15"/>
  <c r="L11" i="15"/>
  <c r="M11" i="15"/>
  <c r="D12" i="15"/>
  <c r="E12" i="15"/>
  <c r="F12" i="15"/>
  <c r="G12" i="15"/>
  <c r="H12" i="15"/>
  <c r="I12" i="15"/>
  <c r="D13" i="15"/>
  <c r="E13" i="15"/>
  <c r="F13" i="15"/>
  <c r="G13" i="15"/>
  <c r="H13" i="15"/>
  <c r="I13" i="15"/>
  <c r="C11" i="15"/>
  <c r="C12" i="15"/>
  <c r="C13" i="15"/>
  <c r="C6" i="15"/>
  <c r="U11" i="13"/>
  <c r="O11" i="15"/>
  <c r="V11" i="13"/>
  <c r="P11" i="15" s="1"/>
  <c r="W11" i="13"/>
  <c r="Q11" i="15"/>
  <c r="J8" i="13"/>
  <c r="Y8" i="13" s="1"/>
  <c r="K8" i="13"/>
  <c r="L8" i="13"/>
  <c r="F8" i="15"/>
  <c r="M8" i="13"/>
  <c r="G8" i="15"/>
  <c r="N8" i="13"/>
  <c r="H8" i="15"/>
  <c r="O8" i="13"/>
  <c r="I8" i="15"/>
  <c r="P8" i="13"/>
  <c r="J8" i="15"/>
  <c r="Q8" i="13"/>
  <c r="K8" i="15"/>
  <c r="R8" i="13"/>
  <c r="L8" i="15" s="1"/>
  <c r="S8" i="13"/>
  <c r="M8" i="15"/>
  <c r="T8" i="13"/>
  <c r="N8" i="15"/>
  <c r="D32" i="13"/>
  <c r="D10" i="13"/>
  <c r="T11" i="13"/>
  <c r="N11" i="15" s="1"/>
  <c r="I6" i="13"/>
  <c r="Y3" i="13"/>
  <c r="W23" i="13"/>
  <c r="W12" i="13" s="1"/>
  <c r="Q12" i="15" s="1"/>
  <c r="Q23" i="13"/>
  <c r="K23" i="15" s="1"/>
  <c r="Q12" i="13"/>
  <c r="T23" i="13"/>
  <c r="T12" i="13" s="1"/>
  <c r="N12" i="15" s="1"/>
  <c r="N23" i="15"/>
  <c r="U23" i="13"/>
  <c r="O23" i="15" s="1"/>
  <c r="V23" i="13"/>
  <c r="P23" i="15" s="1"/>
  <c r="V12" i="13"/>
  <c r="P12" i="15" s="1"/>
  <c r="D4" i="12"/>
  <c r="C4" i="12" s="1"/>
  <c r="C5" i="12"/>
  <c r="G5" i="12"/>
  <c r="H5" i="12"/>
  <c r="C6" i="12"/>
  <c r="G6" i="12"/>
  <c r="H6" i="12"/>
  <c r="C7" i="12"/>
  <c r="G7" i="12"/>
  <c r="H7" i="12"/>
  <c r="C8" i="12"/>
  <c r="G8" i="12"/>
  <c r="H8" i="12"/>
  <c r="C9" i="12"/>
  <c r="G9" i="12"/>
  <c r="H9" i="12"/>
  <c r="C10" i="12"/>
  <c r="G10" i="12"/>
  <c r="H10" i="12"/>
  <c r="C11" i="12"/>
  <c r="G11" i="12"/>
  <c r="H11" i="12"/>
  <c r="D12" i="12"/>
  <c r="D13" i="12"/>
  <c r="C13" i="12" s="1"/>
  <c r="C31" i="12"/>
  <c r="C32" i="12"/>
  <c r="G12" i="12"/>
  <c r="H12" i="12" s="1"/>
  <c r="C19" i="15"/>
  <c r="C15" i="12"/>
  <c r="G13" i="12"/>
  <c r="H13" i="12"/>
  <c r="G4" i="12"/>
  <c r="H4" i="12"/>
  <c r="E45" i="12"/>
  <c r="C12" i="12"/>
  <c r="W13" i="13"/>
  <c r="Q13" i="15"/>
  <c r="K12" i="15"/>
  <c r="P12" i="13"/>
  <c r="J12" i="15" s="1"/>
  <c r="P13" i="13"/>
  <c r="J13" i="15"/>
  <c r="C26" i="12" l="1"/>
  <c r="D5" i="13"/>
  <c r="B36" i="12"/>
  <c r="U12" i="13"/>
  <c r="O12" i="15" s="1"/>
  <c r="S12" i="13"/>
  <c r="M12" i="15" s="1"/>
  <c r="V13" i="13"/>
  <c r="P13" i="15" s="1"/>
  <c r="D20" i="13"/>
  <c r="D8" i="15"/>
  <c r="U13" i="13"/>
  <c r="O13" i="15" s="1"/>
  <c r="S13" i="13"/>
  <c r="M13" i="15" s="1"/>
  <c r="R12" i="13"/>
  <c r="L12" i="15" s="1"/>
  <c r="Q13" i="13"/>
  <c r="K13" i="15" s="1"/>
  <c r="Y23" i="13"/>
  <c r="Q23" i="15"/>
  <c r="T13" i="13"/>
  <c r="N13" i="15" s="1"/>
  <c r="D26" i="12"/>
  <c r="G26" i="12" s="1"/>
  <c r="D12" i="13" l="1"/>
  <c r="D4" i="16"/>
  <c r="E20" i="13"/>
  <c r="E5" i="13"/>
  <c r="D13" i="13"/>
  <c r="W9" i="13" s="1"/>
  <c r="I9" i="13"/>
  <c r="V9" i="13"/>
  <c r="M9" i="13"/>
  <c r="G9" i="15" s="1"/>
  <c r="D8" i="13"/>
  <c r="D30" i="13" s="1"/>
  <c r="L9" i="13"/>
  <c r="F9" i="15" s="1"/>
  <c r="R9" i="13"/>
  <c r="L9" i="15" s="1"/>
  <c r="K9" i="13"/>
  <c r="E9" i="15" s="1"/>
  <c r="Q9" i="13"/>
  <c r="K9" i="15" s="1"/>
  <c r="J9" i="13"/>
  <c r="D9" i="15" s="1"/>
  <c r="P9" i="13"/>
  <c r="J9" i="15" s="1"/>
  <c r="S9" i="13"/>
  <c r="M9" i="15" s="1"/>
  <c r="T9" i="13"/>
  <c r="O9" i="13"/>
  <c r="I9" i="15" s="1"/>
  <c r="D6" i="16"/>
  <c r="W21" i="13" l="1"/>
  <c r="Q9" i="15"/>
  <c r="Q15" i="15" s="1"/>
  <c r="W15" i="13"/>
  <c r="N9" i="15"/>
  <c r="N15" i="15" s="1"/>
  <c r="T15" i="13"/>
  <c r="T21" i="13"/>
  <c r="P7" i="13"/>
  <c r="I7" i="13"/>
  <c r="J7" i="13"/>
  <c r="N7" i="13"/>
  <c r="R7" i="13"/>
  <c r="L7" i="13"/>
  <c r="O7" i="13"/>
  <c r="Q7" i="13"/>
  <c r="S7" i="13"/>
  <c r="K7" i="13"/>
  <c r="M7" i="13"/>
  <c r="P9" i="15"/>
  <c r="P15" i="15" s="1"/>
  <c r="V21" i="13"/>
  <c r="V15" i="13"/>
  <c r="C9" i="15"/>
  <c r="D8" i="16"/>
  <c r="D10" i="16"/>
  <c r="D12" i="16"/>
  <c r="N9" i="13"/>
  <c r="H9" i="15" s="1"/>
  <c r="D11" i="16"/>
  <c r="D14" i="16" s="1"/>
  <c r="D16" i="16" s="1"/>
  <c r="D17" i="16" s="1"/>
  <c r="D19" i="16" s="1"/>
  <c r="D15" i="16"/>
  <c r="U9" i="13"/>
  <c r="F7" i="15" l="1"/>
  <c r="F15" i="15" s="1"/>
  <c r="L15" i="13"/>
  <c r="L21" i="13"/>
  <c r="M15" i="13"/>
  <c r="G7" i="15"/>
  <c r="G15" i="15" s="1"/>
  <c r="M21" i="13"/>
  <c r="S15" i="13"/>
  <c r="S21" i="13"/>
  <c r="M7" i="15"/>
  <c r="M15" i="15" s="1"/>
  <c r="U21" i="13"/>
  <c r="U15" i="13"/>
  <c r="O9" i="15"/>
  <c r="O15" i="15" s="1"/>
  <c r="N21" i="13"/>
  <c r="N15" i="13"/>
  <c r="H7" i="15"/>
  <c r="H15" i="15" s="1"/>
  <c r="P21" i="13"/>
  <c r="J7" i="15"/>
  <c r="J15" i="15" s="1"/>
  <c r="P15" i="13"/>
  <c r="T25" i="13"/>
  <c r="N21" i="15"/>
  <c r="N25" i="15" s="1"/>
  <c r="W25" i="13"/>
  <c r="Q21" i="15"/>
  <c r="Q25" i="15" s="1"/>
  <c r="Y7" i="13"/>
  <c r="E7" i="15"/>
  <c r="E15" i="15" s="1"/>
  <c r="K21" i="13"/>
  <c r="K15" i="13"/>
  <c r="Q15" i="13"/>
  <c r="K7" i="15"/>
  <c r="K15" i="15" s="1"/>
  <c r="Q21" i="13"/>
  <c r="O15" i="13"/>
  <c r="I7" i="15"/>
  <c r="I15" i="15" s="1"/>
  <c r="O21" i="13"/>
  <c r="R21" i="13"/>
  <c r="L7" i="15"/>
  <c r="L15" i="15" s="1"/>
  <c r="R15" i="13"/>
  <c r="J21" i="13"/>
  <c r="D7" i="15"/>
  <c r="D15" i="15" s="1"/>
  <c r="J15" i="13"/>
  <c r="C7" i="15"/>
  <c r="C15" i="15" s="1"/>
  <c r="I15" i="13"/>
  <c r="Y9" i="13"/>
  <c r="P21" i="15"/>
  <c r="P25" i="15" s="1"/>
  <c r="V25" i="13"/>
  <c r="I21" i="13"/>
  <c r="L21" i="15" l="1"/>
  <c r="L25" i="15" s="1"/>
  <c r="R25" i="13"/>
  <c r="O25" i="13"/>
  <c r="I21" i="15"/>
  <c r="I25" i="15" s="1"/>
  <c r="K21" i="15"/>
  <c r="K25" i="15" s="1"/>
  <c r="Q25" i="13"/>
  <c r="I25" i="13"/>
  <c r="I27" i="13" s="1"/>
  <c r="I29" i="13"/>
  <c r="C21" i="15"/>
  <c r="J25" i="13"/>
  <c r="J27" i="13" s="1"/>
  <c r="D21" i="15"/>
  <c r="D25" i="15" s="1"/>
  <c r="P25" i="13"/>
  <c r="J21" i="15"/>
  <c r="J25" i="15" s="1"/>
  <c r="N25" i="13"/>
  <c r="H21" i="15"/>
  <c r="H25" i="15" s="1"/>
  <c r="O21" i="15"/>
  <c r="O25" i="15" s="1"/>
  <c r="U25" i="13"/>
  <c r="S25" i="13"/>
  <c r="M21" i="15"/>
  <c r="M25" i="15" s="1"/>
  <c r="M25" i="13"/>
  <c r="G21" i="15"/>
  <c r="G25" i="15" s="1"/>
  <c r="E21" i="15"/>
  <c r="E25" i="15" s="1"/>
  <c r="K25" i="13"/>
  <c r="L25" i="13"/>
  <c r="F21" i="15"/>
  <c r="F25" i="15" s="1"/>
  <c r="I28" i="13" l="1"/>
  <c r="K27" i="13"/>
  <c r="L27" i="13" s="1"/>
  <c r="M27" i="13" s="1"/>
  <c r="N27" i="13" s="1"/>
  <c r="O27" i="13" s="1"/>
  <c r="P27" i="13" s="1"/>
  <c r="Q27" i="13" s="1"/>
  <c r="R27" i="13" s="1"/>
  <c r="S27" i="13" s="1"/>
  <c r="T27" i="13" s="1"/>
  <c r="U27" i="13" s="1"/>
  <c r="V27" i="13" s="1"/>
  <c r="W27" i="13" s="1"/>
  <c r="C29" i="15"/>
  <c r="C25" i="15"/>
  <c r="C27" i="15" s="1"/>
  <c r="D27" i="15" s="1"/>
  <c r="E27" i="15" s="1"/>
  <c r="F27" i="15" s="1"/>
  <c r="G27" i="15" s="1"/>
  <c r="H27" i="15" s="1"/>
  <c r="I27" i="15" s="1"/>
  <c r="J27" i="15" s="1"/>
  <c r="K27" i="15" s="1"/>
  <c r="L27" i="15" s="1"/>
  <c r="M27" i="15" s="1"/>
  <c r="N27" i="15" s="1"/>
  <c r="O27" i="15" s="1"/>
  <c r="P27" i="15" s="1"/>
  <c r="Q27" i="15" s="1"/>
  <c r="C28" i="15" l="1"/>
  <c r="D29" i="15"/>
  <c r="J29" i="13"/>
  <c r="J28" i="13" l="1"/>
  <c r="K29" i="13"/>
  <c r="K28" i="13" l="1"/>
  <c r="E28" i="15" s="1"/>
  <c r="L29" i="13"/>
  <c r="D28" i="15"/>
  <c r="E29" i="15" s="1"/>
  <c r="F29" i="15" s="1"/>
  <c r="L28" i="13" l="1"/>
  <c r="F28" i="15" l="1"/>
  <c r="G29" i="15" s="1"/>
  <c r="M29" i="13"/>
  <c r="M28" i="13" l="1"/>
  <c r="N29" i="13"/>
  <c r="N28" i="13" l="1"/>
  <c r="H28" i="15" s="1"/>
  <c r="O29" i="13"/>
  <c r="G28" i="15"/>
  <c r="H29" i="15" s="1"/>
  <c r="I29" i="15" s="1"/>
  <c r="O28" i="13" l="1"/>
  <c r="I28" i="15" l="1"/>
  <c r="J29" i="15" s="1"/>
  <c r="P29" i="13"/>
  <c r="P28" i="13" l="1"/>
  <c r="J28" i="15" s="1"/>
  <c r="K29" i="15"/>
  <c r="Q29" i="13" l="1"/>
  <c r="Q28" i="13" l="1"/>
  <c r="K28" i="15" s="1"/>
  <c r="L29" i="15" s="1"/>
  <c r="R29" i="13"/>
  <c r="R28" i="13" l="1"/>
  <c r="L28" i="15" s="1"/>
  <c r="M29" i="15"/>
  <c r="S29" i="13" l="1"/>
  <c r="S28" i="13" l="1"/>
  <c r="M28" i="15" s="1"/>
  <c r="N29" i="15" s="1"/>
  <c r="T29" i="13"/>
  <c r="T28" i="13" l="1"/>
  <c r="N28" i="15" s="1"/>
  <c r="O29" i="15"/>
  <c r="U29" i="13" l="1"/>
  <c r="U28" i="13" l="1"/>
  <c r="V29" i="13"/>
  <c r="O28" i="15" l="1"/>
  <c r="P29" i="15" s="1"/>
  <c r="D11" i="13"/>
  <c r="D31" i="13" l="1"/>
  <c r="D33" i="13" s="1"/>
  <c r="D15" i="13"/>
  <c r="D18" i="13" s="1"/>
  <c r="D25" i="13" l="1"/>
  <c r="D28" i="13"/>
  <c r="D22" i="13"/>
  <c r="D36" i="13"/>
  <c r="D34" i="13"/>
  <c r="D37" i="13"/>
  <c r="C22" i="13" l="1"/>
  <c r="C23" i="13"/>
</calcChain>
</file>

<file path=xl/sharedStrings.xml><?xml version="1.0" encoding="utf-8"?>
<sst xmlns="http://schemas.openxmlformats.org/spreadsheetml/2006/main" count="257" uniqueCount="197">
  <si>
    <t>Total</t>
  </si>
  <si>
    <t>Total Development end sale value</t>
  </si>
  <si>
    <t>Development costs</t>
  </si>
  <si>
    <t>Gross Development cost</t>
  </si>
  <si>
    <t>PSF</t>
  </si>
  <si>
    <t>£</t>
  </si>
  <si>
    <t xml:space="preserve">Professional Fees </t>
  </si>
  <si>
    <t>Sales fee (Agent and legal)</t>
  </si>
  <si>
    <t>Developers Contingency</t>
  </si>
  <si>
    <t>Sq ft</t>
  </si>
  <si>
    <t>Price</t>
  </si>
  <si>
    <t>Costs</t>
  </si>
  <si>
    <t>PSM</t>
  </si>
  <si>
    <t>New Build Resi</t>
  </si>
  <si>
    <t>Beds</t>
  </si>
  <si>
    <t>psf</t>
  </si>
  <si>
    <t>Sq m</t>
  </si>
  <si>
    <t>psm</t>
  </si>
  <si>
    <t>Total Resi</t>
  </si>
  <si>
    <t>Item</t>
  </si>
  <si>
    <t>Comparables</t>
  </si>
  <si>
    <t>Type</t>
  </si>
  <si>
    <t>Roadway and civils</t>
  </si>
  <si>
    <t>New Build</t>
  </si>
  <si>
    <t>Site LTV</t>
  </si>
  <si>
    <t>Works LTV</t>
  </si>
  <si>
    <t>Detailed Breakdown</t>
  </si>
  <si>
    <t>of Facility</t>
  </si>
  <si>
    <t>Fees out</t>
  </si>
  <si>
    <t>Checksum</t>
  </si>
  <si>
    <t>CIL and S106 obligations</t>
  </si>
  <si>
    <t>Site acquisition price</t>
  </si>
  <si>
    <t>Profit</t>
  </si>
  <si>
    <t>Total funding required</t>
  </si>
  <si>
    <t>Capital Structure</t>
  </si>
  <si>
    <t>Senior debt - Site</t>
  </si>
  <si>
    <t>Other purchase costs</t>
  </si>
  <si>
    <t>Senior debt - Total</t>
  </si>
  <si>
    <t>Funding - Total (Incl Equity)</t>
  </si>
  <si>
    <t>Senior debt - Loan to Cost</t>
  </si>
  <si>
    <t>Loan to GDV on completion</t>
  </si>
  <si>
    <t>Equity Required</t>
  </si>
  <si>
    <t>Plot 1</t>
  </si>
  <si>
    <t>Plot 2</t>
  </si>
  <si>
    <t>Plot 3</t>
  </si>
  <si>
    <t>Plot 4</t>
  </si>
  <si>
    <t>Plot 5</t>
  </si>
  <si>
    <t>Plot 6</t>
  </si>
  <si>
    <t>Plot 9</t>
  </si>
  <si>
    <t>Plot 10</t>
  </si>
  <si>
    <t>Plot 11</t>
  </si>
  <si>
    <t>Plot 12</t>
  </si>
  <si>
    <t>Garden Size</t>
  </si>
  <si>
    <t>Detached - 5 Bed</t>
  </si>
  <si>
    <t>3/4</t>
  </si>
  <si>
    <t>Semi Detached</t>
  </si>
  <si>
    <t>Detached - 4 Bed</t>
  </si>
  <si>
    <t>Demolition/Site Preparation</t>
  </si>
  <si>
    <t>Sold Oct 16</t>
  </si>
  <si>
    <t>Sold Aug 16</t>
  </si>
  <si>
    <t>3 RHWF : Hillcrest House - 5 Bed</t>
  </si>
  <si>
    <t>2 RHWF : Hillcrest House - 5 Bed</t>
  </si>
  <si>
    <t>Sold May-17</t>
  </si>
  <si>
    <t>6 RWHF - The Lodge - 4 bed</t>
  </si>
  <si>
    <t>1 RWHF -  Orchard House - 5 Bed</t>
  </si>
  <si>
    <t>5 RWHF -  Orchard House - 5 Bed</t>
  </si>
  <si>
    <t>Sold June 17</t>
  </si>
  <si>
    <t>7 RWHF -  Orchard House - 5 Bed</t>
  </si>
  <si>
    <t>4 RHWF : The Farmhouse - 4 Bed</t>
  </si>
  <si>
    <t>Sold Oct 17</t>
  </si>
  <si>
    <t>Sold May 17</t>
  </si>
  <si>
    <t>Sold Jan 17</t>
  </si>
  <si>
    <t>Sold Apr 17</t>
  </si>
  <si>
    <t>Sold Aug 17</t>
  </si>
  <si>
    <t>7 Fox Elms Road, Tuffley, Gloucester, Gloucestershire GL4 0BE</t>
  </si>
  <si>
    <t>Sold Jul 17</t>
  </si>
  <si>
    <t>1 Spinners Road, Brockworth, Gloucester, Gloucestershire GL3 4LR</t>
  </si>
  <si>
    <t>40 Spinners Road, Brockworth, Gloucester, Gloucestershire GL3 4LR</t>
  </si>
  <si>
    <t>New Home - Bellway</t>
  </si>
  <si>
    <t>Sold July 17</t>
  </si>
  <si>
    <t>Ciresdune, Churchdown, Gloucester GL3 2EW</t>
  </si>
  <si>
    <t>Sweetbriar House, Churchdown, Gloucester GL3 3QU</t>
  </si>
  <si>
    <t>Beaufort House, Sellars Road, Hardwicke GL2 4QD</t>
  </si>
  <si>
    <t>34 Green Lane, Hucclecote, Gloucester GL3 3QU</t>
  </si>
  <si>
    <t>Oaklands, Quedgeley West Business Park, Bristol Road, Hardwicke, Gloucester GL2 4QD</t>
  </si>
  <si>
    <t>Senior debt - Interest and Setup Fees</t>
  </si>
  <si>
    <t>Senior Debt arrangement &amp; Legal fees</t>
  </si>
  <si>
    <t>Senior debt - Works</t>
  </si>
  <si>
    <t>Cashflow</t>
  </si>
  <si>
    <t>Works apportionment</t>
  </si>
  <si>
    <t>Cash outflows</t>
  </si>
  <si>
    <t>Works</t>
  </si>
  <si>
    <t>Fees in</t>
  </si>
  <si>
    <t>Fees Out</t>
  </si>
  <si>
    <t>Legal Fees</t>
  </si>
  <si>
    <t>Total outflows</t>
  </si>
  <si>
    <t>Cash Inflows</t>
  </si>
  <si>
    <t>Site Loan drawdown</t>
  </si>
  <si>
    <t>Works Loan/Fees drawdown</t>
  </si>
  <si>
    <t>Completed property refinance</t>
  </si>
  <si>
    <t>Property sales</t>
  </si>
  <si>
    <t>Total inflows</t>
  </si>
  <si>
    <t>Net cash position</t>
  </si>
  <si>
    <t>Interest</t>
  </si>
  <si>
    <t>Senior Loan balance</t>
  </si>
  <si>
    <t>Exit Assumptions</t>
  </si>
  <si>
    <t>Equity Input</t>
  </si>
  <si>
    <t>Interest on development loan</t>
  </si>
  <si>
    <t>Loan Repayments</t>
  </si>
  <si>
    <t>Phase 1 Sold</t>
  </si>
  <si>
    <t>Phase 2 Sold</t>
  </si>
  <si>
    <t>Repay current loans</t>
  </si>
  <si>
    <t>Profit on Cost</t>
  </si>
  <si>
    <t>Stamp duty and previously incurred acquisition fees</t>
  </si>
  <si>
    <t>Broker/Estate Agents fees</t>
  </si>
  <si>
    <t>Professional Fees, S106</t>
  </si>
  <si>
    <t>Section 106 Contributions</t>
  </si>
  <si>
    <t>Robinshill Wood Farm - New Houses</t>
  </si>
  <si>
    <t>Non-New Stock</t>
  </si>
  <si>
    <t>20a Carisbrooke Road, Hucclecote, Gloucester, Gloucestershire GL3 3QR</t>
  </si>
  <si>
    <t>Sold July 18</t>
  </si>
  <si>
    <t>Phase 1 refinanced</t>
  </si>
  <si>
    <t>Phase 2 refinanced</t>
  </si>
  <si>
    <t>Professional Fees</t>
  </si>
  <si>
    <t>Cash Input</t>
  </si>
  <si>
    <t>Plot 13</t>
  </si>
  <si>
    <t>Plot 14</t>
  </si>
  <si>
    <t>Flat A</t>
  </si>
  <si>
    <t>1 Bed</t>
  </si>
  <si>
    <t>Flat B</t>
  </si>
  <si>
    <t>2 Bed</t>
  </si>
  <si>
    <t>Flat C</t>
  </si>
  <si>
    <t>3 Bed M</t>
  </si>
  <si>
    <t>Flat D</t>
  </si>
  <si>
    <t>Flat E</t>
  </si>
  <si>
    <t>2 Bed M</t>
  </si>
  <si>
    <t>Flat F</t>
  </si>
  <si>
    <t>Flat G</t>
  </si>
  <si>
    <t>School Building Conversion</t>
  </si>
  <si>
    <t>Interest on site</t>
  </si>
  <si>
    <t>Interest on build cost</t>
  </si>
  <si>
    <t>Section 106 Costs</t>
  </si>
  <si>
    <t>Developers profit</t>
  </si>
  <si>
    <t>Residual Value</t>
  </si>
  <si>
    <t>Less stamp duty and acquisition fees</t>
  </si>
  <si>
    <t>Site Value</t>
  </si>
  <si>
    <t>Purchase Price</t>
  </si>
  <si>
    <t>Conversion</t>
  </si>
  <si>
    <t>Copyright &amp; Contact</t>
  </si>
  <si>
    <t xml:space="preserve">This was created by Evan Maindonald © 2024, Hyperlight Management Limited, Any questions, contact Evan@Hyperlight.Ventures
</t>
  </si>
  <si>
    <t>License</t>
  </si>
  <si>
    <r>
      <t xml:space="preserve">tl:dr; You can modify, edit, use, and share within your company (and with third-parties as needed to operate your business). You may not redistribute, resell, give away to others. </t>
    </r>
    <r>
      <rPr>
        <u/>
        <sz val="10"/>
        <color rgb="FF1155CC"/>
        <rFont val="Arial"/>
        <family val="2"/>
      </rPr>
      <t xml:space="preserve">
</t>
    </r>
  </si>
  <si>
    <t>Goal</t>
  </si>
  <si>
    <t>This is a simplified model for forecasting appraising a development site, to help understand how valuation and site apprasal works. I've appraised countless sites building complicated models for appraisal and valuation. This is a simple model for initial appraisal and evaluation of development opportunties.</t>
  </si>
  <si>
    <t>Copy to Google Sheets or Download to Excel</t>
  </si>
  <si>
    <r>
      <t>File &gt; Make a Copy to copy it to your own Google Drive, or File &gt; Download to download this to use in Excel or other spreadsheet programs.</t>
    </r>
    <r>
      <rPr>
        <sz val="10"/>
        <color rgb="FF1155CC"/>
        <rFont val="Arial"/>
        <family val="2"/>
      </rPr>
      <t xml:space="preserve">
</t>
    </r>
  </si>
  <si>
    <t>Support</t>
  </si>
  <si>
    <r>
      <t>No support provided in free licence version. For monthly subscription and support options, email Evan@Hyperlight.Ventures</t>
    </r>
    <r>
      <rPr>
        <sz val="10"/>
        <color rgb="FF1155CC"/>
        <rFont val="Arial"/>
        <family val="2"/>
      </rPr>
      <t xml:space="preserve">
</t>
    </r>
  </si>
  <si>
    <t>Missing a feature you need?</t>
  </si>
  <si>
    <t xml:space="preserve">Check out the resources on my website for other appraisal models.
</t>
  </si>
  <si>
    <t>Quickstart</t>
  </si>
  <si>
    <t xml:space="preserve">Input assumptions on in the yellow cells, profitability in the P&amp;L Sheet, Site Valuation in the Valuation spreadsheet.
</t>
  </si>
  <si>
    <t>Formatting and Colours</t>
  </si>
  <si>
    <t>Sheets</t>
  </si>
  <si>
    <t>README</t>
  </si>
  <si>
    <t>Contact into, overview on model. Safe to delete or hide.</t>
  </si>
  <si>
    <t>Terms of use of the model - License</t>
  </si>
  <si>
    <t>Sell</t>
  </si>
  <si>
    <t>Input Sales Values and Comparables here</t>
  </si>
  <si>
    <t>P&amp;L</t>
  </si>
  <si>
    <t>Projects profit on the project</t>
  </si>
  <si>
    <t>Valuation</t>
  </si>
  <si>
    <t>Simulates RICS Red Book Valuation</t>
  </si>
  <si>
    <t>License Agreement</t>
  </si>
  <si>
    <t>Available on website</t>
  </si>
  <si>
    <t>This License Agreement (“the Agreement”) between you, the licensee, and Hyperlight Management Limited (the “Company”) a limited company  headquartered and registered in the United Kingdom. The Company owns the financial model (the “Product”) and any edits, additions, or customizations (the "Service") delivered under this Agreement. This Agreement grants you a non-exclusive, non-transferable right to use and incorporate the Product and Service in personal and corporate projects for the organization that purchased the Product and/or Service.</t>
  </si>
  <si>
    <t>You agree as follows:</t>
  </si>
  <si>
    <t>1. Scope of use</t>
  </si>
  <si>
    <t>* Use and incorporate the Product and/or Service in personal and commercial projects for your company including financial models, business plans, pitch decks, etc.</t>
  </si>
  <si>
    <t>* You may modify the Product and/or Service to better serve your project.</t>
  </si>
  <si>
    <t>* You are granted unlimited usage of the Product and/or Service purchased in your organization.</t>
  </si>
  <si>
    <t>* If an organization is the licensee, all employees of the organization may use the same license.</t>
  </si>
  <si>
    <t>2. Limitations and non-use</t>
  </si>
  <si>
    <t>* You may not redistribute, sublicense or resell the Product and/or Service.</t>
  </si>
  <si>
    <t>* You may not distribute, license or sell derivative, recompiled, reverse engineered, or modified versions of the Product and/or Service.</t>
  </si>
  <si>
    <t>* You may not use the Product and/or Service as in projects for other organizations.</t>
  </si>
  <si>
    <t>* If your customers would like to use the Product and/or Service as a part of their own product, you must obtain a separate license for each client.</t>
  </si>
  <si>
    <t>* The Product and/or Service is provided “as is” without a warranty of any kind, either expressed or implied.</t>
  </si>
  <si>
    <t>* The Company owns all right, title, intellectual property, and interest in the Product and/or Service.</t>
  </si>
  <si>
    <t>* The design, text, graphics, selection and arrangement in the Product and/or Service are the copyright © of the Company, all rights reserved.</t>
  </si>
  <si>
    <t>The Company’s liability to you for costs, damages, or other losses arising from your use of the Product and/or Service — including third-party claims against you — is limited to a refund of your license fee of the Product and/or the fees paid in the 12 months preceding the Service in question. The Company may not be held liable for any consequential damages related to your use of the Product and/orService. We are not financial advisors, planners, brokers, or tax advisors, and the Company, Product, and Service are not intended to provide legal, tax, or financial advice. Your financial situation is unique, and any information and advice obtained through the Product and/or Service may not be appropriate for your situation. Accordingly, before making any final decisions or implementing any financial strategy, you should consider obtaining additional information and advice from your accountant or other financial advisers who are fully aware of your individual situation.</t>
  </si>
  <si>
    <t>TO THE FULLEST EXTENT PERMITTED BY LAW, WE AND OUR AFFILIATES, SUPPLIERS AND DISTRIBUTORS MAKE NO WARRANTIES, EITHER EXPRESS OR IMPLIED, ABOUT THE PRODUCTS AND SERVICES. THE PRODUCTS AND SERVICES ARE PROVIDED "AS IS." WE ALSO DISCLAIM ANY WARRANTIES OF MERCHANTABILITY, FITNESS FOR A PARTICULAR PURPOSE AND NON-INFRINGEMENT.  INFORMATION AND OPINIONS RECEIVED VIA THE PRODUCT, SERVICE, AND WEBSITE SHOULD NOT BE RELIED UPON FOR PERSONAL, MEDICAL, LEGAL OR FINANCIAL DECISIONS AND YOU SHOULD CONSULT AN APPROPRIATE PROFESSIONAL FOR SPECIFIC ADVICE TAILORED TO YOUR SITUATION.</t>
  </si>
  <si>
    <t>TO THE FULLEST EXTENT PERMITTED BY LAW, IN NO EVENT WILL WE, OUR AFFILIATES, SUPPLIERS OR DISTRIBUTORS BE LIABLE FOR ANY INDIRECT, SPECIAL, INCIDENTAL, PUNITIVE, EXEMPLARY OR CONSEQUENTIAL DAMAGES OR ANY LOSS OF USE, DATA, BUSINESS, OR PROFITS, REGARDLESS OF LEGAL THEORY, WHETHER OR NOT WE HAVE BEEN WARNED OF THE POSSIBILITY OF SUCH DAMAGES, AND EVEN IF A REMEDY FAILS OF ITS ESSENTIAL PURPOSE.</t>
  </si>
  <si>
    <t>This Agreement is governed by the laws of the United Kingdom. Legal proceedings related to this Agreement may only be brought in the courts of the United Kingdom. You agree to service of process at the e-mail address on your original order. Notices may be sent to Hyperlight Management Limited by email to Evan@Hyperlight.Ventures or by post to Hyperlight Management Limited, 27 Old Gloucester St, London, UK, WC1N 3AX.</t>
  </si>
  <si>
    <t>Cashflow Appraisal Template</t>
  </si>
  <si>
    <t>Cashflow Summary</t>
  </si>
  <si>
    <t>This model is more complex and so I have not included highlighting on it. In due course I will be posting loom videos showing you how to use the spreadsheets - with worked examples. The basic rule is don't change any cell with a formula in it or you will break the model.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</si>
</sst>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6" formatCode="&quot;£&quot;#,##0;[Red]\-&quot;£&quot;#,##0"/>
    <numFmt numFmtId="44" formatCode="_-&quot;£&quot;* #,##0.00_-;\-&quot;£&quot;* #,##0.00_-;_-&quot;£&quot;* &quot;-&quot;??_-;_-@_-"/>
    <numFmt numFmtId="43" formatCode="_-* #,##0.00_-;\-* #,##0.00_-;_-* &quot;-&quot;??_-;_-@_-"/>
    <numFmt numFmtId="164" formatCode="_-&quot;£&quot;* #,##0_-;\-&quot;£&quot;* #,##0_-;_-&quot;£&quot;* &quot;-&quot;??_-;_-@_-"/>
    <numFmt numFmtId="165" formatCode="_-* #,##0_-;\-* #,##0_-;_-* &quot;-&quot;??_-;_-@_-"/>
    <numFmt numFmtId="166" formatCode="0.0%"/>
    <numFmt numFmtId="167" formatCode="_-* #,##0.000_-;\-* #,##0.000_-;_-* &quot;-&quot;??_-;_-@_-"/>
    <numFmt numFmtId="168" formatCode="0.0"/>
  </numFmts>
  <fonts count="20">
    <font>
      <sz val="10"/>
      <name val="Arial"/>
    </font>
    <font>
      <sz val="11"/>
      <color theme="1"/>
      <name val="Calibri"/>
      <family val="2"/>
      <scheme val="minor"/>
    </font>
    <font>
      <sz val="10"/>
      <name val="Arial"/>
      <family val="2"/>
    </font>
    <font>
      <b/>
      <sz val="10"/>
      <name val="Arial"/>
      <family val="2"/>
    </font>
    <font>
      <sz val="10"/>
      <name val="Arial"/>
      <family val="2"/>
    </font>
    <font>
      <u/>
      <sz val="10"/>
      <color indexed="12"/>
      <name val="Arial"/>
      <family val="2"/>
    </font>
    <font>
      <sz val="10"/>
      <name val="Arial"/>
      <family val="2"/>
    </font>
    <font>
      <sz val="10"/>
      <name val="Arial"/>
      <family val="2"/>
    </font>
    <font>
      <b/>
      <u/>
      <sz val="10"/>
      <name val="Arial"/>
      <family val="2"/>
    </font>
    <font>
      <sz val="10"/>
      <name val="Arial"/>
      <family val="2"/>
    </font>
    <font>
      <sz val="10"/>
      <color theme="1"/>
      <name val="Arial"/>
      <family val="2"/>
    </font>
    <font>
      <b/>
      <sz val="14"/>
      <color theme="1"/>
      <name val="Calibri"/>
      <family val="2"/>
      <scheme val="minor"/>
    </font>
    <font>
      <sz val="10"/>
      <color rgb="FF000000"/>
      <name val="Arial"/>
      <family val="2"/>
    </font>
    <font>
      <u/>
      <sz val="10"/>
      <color rgb="FF1155CC"/>
      <name val="Arial"/>
      <family val="2"/>
    </font>
    <font>
      <sz val="10"/>
      <color rgb="FF1155CC"/>
      <name val="Arial"/>
      <family val="2"/>
    </font>
    <font>
      <i/>
      <sz val="10"/>
      <color rgb="FF000000"/>
      <name val="&quot;Avenir Book&quot;"/>
    </font>
    <font>
      <sz val="10"/>
      <color rgb="FF000000"/>
      <name val="&quot;Avenir Book&quot;"/>
    </font>
    <font>
      <b/>
      <sz val="14"/>
      <color theme="1"/>
      <name val="Arial"/>
      <family val="2"/>
    </font>
    <font>
      <b/>
      <sz val="10"/>
      <color theme="1"/>
      <name val="Arial"/>
      <family val="2"/>
    </font>
    <font>
      <b/>
      <sz val="12"/>
      <color theme="1"/>
      <name val="Arial"/>
      <family val="2"/>
    </font>
  </fonts>
  <fills count="3">
    <fill>
      <patternFill patternType="none"/>
    </fill>
    <fill>
      <patternFill patternType="gray125"/>
    </fill>
    <fill>
      <patternFill patternType="solid">
        <fgColor theme="4" tint="0.79998168889431442"/>
        <bgColor indexed="65"/>
      </patternFill>
    </fill>
  </fills>
  <borders count="1">
    <border>
      <left/>
      <right/>
      <top/>
      <bottom/>
      <diagonal/>
    </border>
  </borders>
  <cellStyleXfs count="13">
    <xf numFmtId="0" fontId="0" fillId="0" borderId="0"/>
    <xf numFmtId="43" fontId="2"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0" fontId="5" fillId="0" borderId="0" applyNumberFormat="0" applyFill="0" applyBorder="0" applyAlignment="0" applyProtection="0">
      <alignment vertical="top"/>
      <protection locked="0"/>
    </xf>
    <xf numFmtId="9" fontId="2"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0" fontId="1" fillId="2" borderId="0" applyNumberFormat="0" applyBorder="0" applyAlignment="0" applyProtection="0"/>
    <xf numFmtId="0" fontId="2" fillId="0" borderId="0"/>
  </cellStyleXfs>
  <cellXfs count="110">
    <xf numFmtId="0" fontId="0" fillId="0" borderId="0" xfId="0"/>
    <xf numFmtId="0" fontId="3" fillId="0" borderId="0" xfId="0" applyFont="1"/>
    <xf numFmtId="164" fontId="0" fillId="0" borderId="0" xfId="3" applyNumberFormat="1" applyFont="1"/>
    <xf numFmtId="10" fontId="0" fillId="0" borderId="0" xfId="0" applyNumberFormat="1"/>
    <xf numFmtId="0" fontId="4" fillId="0" borderId="0" xfId="0" applyFont="1"/>
    <xf numFmtId="0" fontId="3" fillId="0" borderId="0" xfId="0" applyFont="1" applyAlignment="1">
      <alignment horizontal="center"/>
    </xf>
    <xf numFmtId="0" fontId="0" fillId="0" borderId="0" xfId="0" applyAlignment="1">
      <alignment horizontal="center"/>
    </xf>
    <xf numFmtId="164" fontId="3" fillId="0" borderId="0" xfId="0" applyNumberFormat="1" applyFont="1" applyAlignment="1">
      <alignment horizontal="center"/>
    </xf>
    <xf numFmtId="165" fontId="3" fillId="0" borderId="0" xfId="0" applyNumberFormat="1" applyFont="1"/>
    <xf numFmtId="9" fontId="0" fillId="0" borderId="0" xfId="0" applyNumberFormat="1"/>
    <xf numFmtId="9" fontId="3" fillId="0" borderId="0" xfId="0" applyNumberFormat="1" applyFont="1"/>
    <xf numFmtId="166" fontId="3" fillId="0" borderId="0" xfId="0" applyNumberFormat="1" applyFont="1"/>
    <xf numFmtId="165" fontId="0" fillId="0" borderId="0" xfId="0" applyNumberFormat="1"/>
    <xf numFmtId="0" fontId="0" fillId="0" borderId="0" xfId="0" applyAlignment="1">
      <alignment horizontal="left"/>
    </xf>
    <xf numFmtId="43" fontId="0" fillId="0" borderId="0" xfId="1" applyFont="1"/>
    <xf numFmtId="164" fontId="0" fillId="0" borderId="0" xfId="0" applyNumberFormat="1"/>
    <xf numFmtId="0" fontId="3" fillId="0" borderId="0" xfId="0" applyFont="1" applyAlignment="1">
      <alignment horizontal="right"/>
    </xf>
    <xf numFmtId="164" fontId="3" fillId="0" borderId="0" xfId="0" applyNumberFormat="1" applyFont="1"/>
    <xf numFmtId="43" fontId="3" fillId="0" borderId="0" xfId="0" applyNumberFormat="1" applyFont="1"/>
    <xf numFmtId="43" fontId="3" fillId="0" borderId="0" xfId="1" applyFont="1"/>
    <xf numFmtId="165" fontId="3" fillId="0" borderId="0" xfId="1" applyNumberFormat="1" applyFont="1"/>
    <xf numFmtId="0" fontId="4" fillId="0" borderId="0" xfId="0" applyFont="1" applyAlignment="1">
      <alignment horizontal="left"/>
    </xf>
    <xf numFmtId="164" fontId="0" fillId="0" borderId="0" xfId="0" applyNumberFormat="1" applyAlignment="1">
      <alignment horizontal="center"/>
    </xf>
    <xf numFmtId="165" fontId="0" fillId="0" borderId="0" xfId="1" applyNumberFormat="1" applyFont="1"/>
    <xf numFmtId="165" fontId="4" fillId="0" borderId="0" xfId="1" applyNumberFormat="1" applyFont="1"/>
    <xf numFmtId="0" fontId="3" fillId="0" borderId="0" xfId="0" applyFont="1" applyAlignment="1">
      <alignment horizontal="left"/>
    </xf>
    <xf numFmtId="44" fontId="0" fillId="0" borderId="0" xfId="0" applyNumberFormat="1" applyAlignment="1">
      <alignment horizontal="center"/>
    </xf>
    <xf numFmtId="1" fontId="0" fillId="0" borderId="0" xfId="0" applyNumberFormat="1"/>
    <xf numFmtId="0" fontId="4" fillId="0" borderId="0" xfId="0" applyFont="1" applyAlignment="1">
      <alignment horizontal="right"/>
    </xf>
    <xf numFmtId="165" fontId="5" fillId="0" borderId="0" xfId="7" applyNumberFormat="1" applyAlignment="1" applyProtection="1"/>
    <xf numFmtId="164" fontId="6" fillId="0" borderId="0" xfId="3" applyNumberFormat="1" applyFont="1" applyFill="1"/>
    <xf numFmtId="164" fontId="3" fillId="0" borderId="0" xfId="3" applyNumberFormat="1" applyFont="1" applyFill="1"/>
    <xf numFmtId="9" fontId="0" fillId="0" borderId="0" xfId="9" applyFont="1"/>
    <xf numFmtId="164" fontId="0" fillId="0" borderId="0" xfId="4" applyNumberFormat="1" applyFont="1"/>
    <xf numFmtId="164" fontId="3" fillId="0" borderId="0" xfId="4" applyNumberFormat="1" applyFont="1"/>
    <xf numFmtId="44" fontId="3" fillId="0" borderId="0" xfId="4" applyFont="1"/>
    <xf numFmtId="164" fontId="4" fillId="0" borderId="0" xfId="4" applyNumberFormat="1" applyFont="1"/>
    <xf numFmtId="164" fontId="7" fillId="0" borderId="0" xfId="4" applyNumberFormat="1" applyAlignment="1">
      <alignment horizontal="center"/>
    </xf>
    <xf numFmtId="166" fontId="4" fillId="0" borderId="0" xfId="0" applyNumberFormat="1" applyFont="1"/>
    <xf numFmtId="164" fontId="4" fillId="0" borderId="0" xfId="5" applyNumberFormat="1" applyFont="1"/>
    <xf numFmtId="10" fontId="0" fillId="0" borderId="0" xfId="9" applyNumberFormat="1" applyFont="1"/>
    <xf numFmtId="0" fontId="8" fillId="0" borderId="0" xfId="0" applyFont="1" applyAlignment="1">
      <alignment horizontal="left"/>
    </xf>
    <xf numFmtId="165" fontId="3" fillId="0" borderId="0" xfId="1" applyNumberFormat="1" applyFont="1" applyAlignment="1">
      <alignment horizontal="right"/>
    </xf>
    <xf numFmtId="10" fontId="3" fillId="0" borderId="0" xfId="8" applyNumberFormat="1" applyFont="1"/>
    <xf numFmtId="1" fontId="3" fillId="0" borderId="0" xfId="0" applyNumberFormat="1" applyFont="1"/>
    <xf numFmtId="0" fontId="0" fillId="0" borderId="0" xfId="0" quotePrefix="1" applyAlignment="1">
      <alignment horizontal="center"/>
    </xf>
    <xf numFmtId="0" fontId="5" fillId="0" borderId="0" xfId="7" applyAlignment="1" applyProtection="1">
      <alignment horizontal="left"/>
    </xf>
    <xf numFmtId="0" fontId="8" fillId="0" borderId="0" xfId="0" applyFont="1"/>
    <xf numFmtId="17" fontId="3" fillId="0" borderId="0" xfId="0" applyNumberFormat="1" applyFont="1"/>
    <xf numFmtId="164" fontId="0" fillId="0" borderId="0" xfId="5" applyNumberFormat="1" applyFont="1"/>
    <xf numFmtId="164" fontId="3" fillId="0" borderId="0" xfId="5" applyNumberFormat="1" applyFont="1"/>
    <xf numFmtId="43" fontId="4" fillId="0" borderId="0" xfId="0" applyNumberFormat="1" applyFont="1"/>
    <xf numFmtId="166" fontId="0" fillId="0" borderId="0" xfId="0" applyNumberFormat="1"/>
    <xf numFmtId="43" fontId="0" fillId="0" borderId="0" xfId="0" applyNumberFormat="1"/>
    <xf numFmtId="43" fontId="3" fillId="0" borderId="0" xfId="8" applyNumberFormat="1" applyFont="1"/>
    <xf numFmtId="164" fontId="4" fillId="0" borderId="0" xfId="0" applyNumberFormat="1" applyFont="1"/>
    <xf numFmtId="43" fontId="4" fillId="0" borderId="0" xfId="1" applyFont="1"/>
    <xf numFmtId="9" fontId="4" fillId="0" borderId="0" xfId="8" applyFont="1"/>
    <xf numFmtId="2" fontId="0" fillId="0" borderId="0" xfId="0" applyNumberFormat="1"/>
    <xf numFmtId="164" fontId="3" fillId="0" borderId="0" xfId="5" applyNumberFormat="1" applyFont="1" applyAlignment="1">
      <alignment horizontal="right"/>
    </xf>
    <xf numFmtId="10" fontId="3" fillId="0" borderId="0" xfId="8" applyNumberFormat="1" applyFont="1" applyAlignment="1">
      <alignment horizontal="right"/>
    </xf>
    <xf numFmtId="165" fontId="3" fillId="0" borderId="0" xfId="8" applyNumberFormat="1" applyFont="1"/>
    <xf numFmtId="164" fontId="3" fillId="0" borderId="0" xfId="8" applyNumberFormat="1" applyFont="1"/>
    <xf numFmtId="167" fontId="3" fillId="0" borderId="0" xfId="1" applyNumberFormat="1" applyFont="1"/>
    <xf numFmtId="9" fontId="3" fillId="0" borderId="0" xfId="8" applyFont="1"/>
    <xf numFmtId="44" fontId="0" fillId="0" borderId="0" xfId="3" applyFont="1"/>
    <xf numFmtId="44" fontId="0" fillId="0" borderId="0" xfId="5" applyFont="1"/>
    <xf numFmtId="17" fontId="3" fillId="0" borderId="0" xfId="0" applyNumberFormat="1" applyFont="1" applyAlignment="1">
      <alignment horizontal="right"/>
    </xf>
    <xf numFmtId="164" fontId="3" fillId="0" borderId="0" xfId="3" applyNumberFormat="1" applyFont="1"/>
    <xf numFmtId="9" fontId="4" fillId="0" borderId="0" xfId="0" applyNumberFormat="1" applyFont="1"/>
    <xf numFmtId="6" fontId="0" fillId="0" borderId="0" xfId="0" applyNumberFormat="1"/>
    <xf numFmtId="164" fontId="4" fillId="0" borderId="0" xfId="3" applyNumberFormat="1" applyFont="1"/>
    <xf numFmtId="164" fontId="3" fillId="0" borderId="0" xfId="3" applyNumberFormat="1" applyFont="1" applyAlignment="1">
      <alignment horizontal="right"/>
    </xf>
    <xf numFmtId="166" fontId="0" fillId="0" borderId="0" xfId="8" applyNumberFormat="1" applyFont="1"/>
    <xf numFmtId="166" fontId="3" fillId="0" borderId="0" xfId="8" applyNumberFormat="1" applyFont="1"/>
    <xf numFmtId="10" fontId="0" fillId="0" borderId="0" xfId="8" applyNumberFormat="1" applyFont="1"/>
    <xf numFmtId="44" fontId="0" fillId="0" borderId="0" xfId="0" applyNumberFormat="1"/>
    <xf numFmtId="10" fontId="4" fillId="0" borderId="0" xfId="0" applyNumberFormat="1" applyFont="1"/>
    <xf numFmtId="165" fontId="0" fillId="0" borderId="0" xfId="1" applyNumberFormat="1" applyFont="1" applyFill="1" applyAlignment="1">
      <alignment horizontal="center"/>
    </xf>
    <xf numFmtId="168" fontId="0" fillId="0" borderId="0" xfId="0" applyNumberFormat="1"/>
    <xf numFmtId="164" fontId="3" fillId="0" borderId="0" xfId="6" applyNumberFormat="1" applyFont="1"/>
    <xf numFmtId="164" fontId="0" fillId="0" borderId="0" xfId="6" applyNumberFormat="1" applyFont="1"/>
    <xf numFmtId="164" fontId="4" fillId="0" borderId="0" xfId="6" applyNumberFormat="1" applyFont="1"/>
    <xf numFmtId="164" fontId="9" fillId="0" borderId="0" xfId="6" applyNumberFormat="1" applyAlignment="1">
      <alignment horizontal="center"/>
    </xf>
    <xf numFmtId="9" fontId="4" fillId="0" borderId="0" xfId="10" applyFont="1"/>
    <xf numFmtId="1" fontId="4" fillId="0" borderId="0" xfId="0" applyNumberFormat="1" applyFont="1" applyAlignment="1">
      <alignment horizontal="right"/>
    </xf>
    <xf numFmtId="43" fontId="9" fillId="0" borderId="0" xfId="2"/>
    <xf numFmtId="9" fontId="9" fillId="0" borderId="0" xfId="2" applyNumberFormat="1"/>
    <xf numFmtId="165" fontId="4" fillId="0" borderId="0" xfId="0" applyNumberFormat="1" applyFont="1"/>
    <xf numFmtId="10" fontId="0" fillId="0" borderId="0" xfId="10" applyNumberFormat="1" applyFont="1"/>
    <xf numFmtId="165" fontId="0" fillId="0" borderId="0" xfId="2" applyNumberFormat="1" applyFont="1"/>
    <xf numFmtId="0" fontId="2" fillId="0" borderId="0" xfId="12"/>
    <xf numFmtId="0" fontId="11" fillId="0" borderId="0" xfId="12" applyFont="1"/>
    <xf numFmtId="0" fontId="12" fillId="0" borderId="0" xfId="12" applyFont="1" applyAlignment="1">
      <alignment vertical="top" wrapText="1"/>
    </xf>
    <xf numFmtId="0" fontId="1" fillId="2" borderId="0" xfId="11" applyAlignment="1">
      <alignment vertical="top" wrapText="1"/>
    </xf>
    <xf numFmtId="0" fontId="10" fillId="0" borderId="0" xfId="12" applyFont="1" applyAlignment="1">
      <alignment vertical="top" wrapText="1"/>
    </xf>
    <xf numFmtId="0" fontId="15" fillId="0" borderId="0" xfId="12" applyFont="1" applyAlignment="1">
      <alignment wrapText="1"/>
    </xf>
    <xf numFmtId="0" fontId="16" fillId="0" borderId="0" xfId="12" applyFont="1" applyAlignment="1">
      <alignment wrapText="1"/>
    </xf>
    <xf numFmtId="0" fontId="10" fillId="0" borderId="0" xfId="12" applyFont="1" applyAlignment="1">
      <alignment horizontal="right"/>
    </xf>
    <xf numFmtId="0" fontId="2" fillId="0" borderId="0" xfId="12" applyFont="1"/>
    <xf numFmtId="0" fontId="17" fillId="0" borderId="0" xfId="12" applyFont="1"/>
    <xf numFmtId="0" fontId="12" fillId="0" borderId="0" xfId="12" applyFont="1"/>
    <xf numFmtId="0" fontId="18" fillId="0" borderId="0" xfId="12" applyFont="1" applyAlignment="1">
      <alignment vertical="top" wrapText="1"/>
    </xf>
    <xf numFmtId="0" fontId="12" fillId="0" borderId="0" xfId="12" applyFont="1" applyAlignment="1">
      <alignment wrapText="1"/>
    </xf>
    <xf numFmtId="0" fontId="2" fillId="0" borderId="0" xfId="12" applyFont="1" applyAlignment="1">
      <alignment vertical="top" wrapText="1"/>
    </xf>
    <xf numFmtId="0" fontId="2" fillId="0" borderId="0" xfId="12" applyFont="1" applyAlignment="1">
      <alignment wrapText="1"/>
    </xf>
    <xf numFmtId="0" fontId="19" fillId="0" borderId="0" xfId="12" applyFont="1" applyAlignment="1">
      <alignment vertical="top" wrapText="1"/>
    </xf>
    <xf numFmtId="0" fontId="10" fillId="0" borderId="0" xfId="12" applyFont="1" applyAlignment="1">
      <alignment vertical="top"/>
    </xf>
    <xf numFmtId="0" fontId="10" fillId="2" borderId="0" xfId="11" applyFont="1" applyAlignment="1">
      <alignment vertical="top" wrapText="1"/>
    </xf>
    <xf numFmtId="0" fontId="10" fillId="0" borderId="0" xfId="11" applyFont="1" applyFill="1" applyAlignment="1">
      <alignment vertical="top" wrapText="1"/>
    </xf>
  </cellXfs>
  <cellStyles count="13">
    <cellStyle name="20% - Accent1" xfId="11" builtinId="30"/>
    <cellStyle name="Comma" xfId="1" builtinId="3"/>
    <cellStyle name="Comma 2" xfId="2" xr:uid="{AABBBC76-0334-4823-95C1-6462C1149302}"/>
    <cellStyle name="Currency" xfId="3" builtinId="4"/>
    <cellStyle name="Currency 2" xfId="4" xr:uid="{BA752CB3-037F-43CA-AD88-F4BF4CC69F19}"/>
    <cellStyle name="Currency 2 2" xfId="5" xr:uid="{63164D91-741B-412A-AA75-0901B95B2E4D}"/>
    <cellStyle name="Currency 3" xfId="6" xr:uid="{0CA9A9D8-73B4-4F6F-98E8-EA0D447F1FB3}"/>
    <cellStyle name="Hyperlink" xfId="7" builtinId="8"/>
    <cellStyle name="Normal" xfId="0" builtinId="0"/>
    <cellStyle name="Normal 2" xfId="12" xr:uid="{B3F23C17-7FFA-438E-BB51-AF8066BC605A}"/>
    <cellStyle name="Percent" xfId="8" builtinId="5"/>
    <cellStyle name="Percent 2" xfId="9" xr:uid="{9CC710FA-03C0-47DC-9A63-62D409F71909}"/>
    <cellStyle name="Percent 3" xfId="10" xr:uid="{401D297B-9B6E-44C7-9D34-BA8C9F7CA08E}"/>
  </cellStyles>
  <dxfs count="21">
    <dxf>
      <alignment horizontal="general" vertical="top" textRotation="0" wrapText="1" indent="0" justifyLastLine="0" shrinkToFit="0" readingOrder="0"/>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vertAlign val="baseline"/>
        <name val="Arial"/>
        <family val="2"/>
        <scheme val="none"/>
      </font>
    </dxf>
    <dxf>
      <font>
        <strike val="0"/>
        <outline val="0"/>
        <shadow val="0"/>
        <vertAlign val="baseline"/>
        <name val="Arial"/>
        <family val="2"/>
        <scheme val="none"/>
      </font>
    </dxf>
    <dxf>
      <font>
        <strike val="0"/>
        <outline val="0"/>
        <shadow val="0"/>
        <vertAlign val="baseline"/>
        <name val="Arial"/>
        <family val="2"/>
        <scheme val="none"/>
      </font>
    </dxf>
    <dxf>
      <font>
        <strike val="0"/>
        <outline val="0"/>
        <shadow val="0"/>
        <vertAlign val="baseline"/>
        <name val="Arial"/>
        <family val="2"/>
        <scheme val="none"/>
      </font>
    </dxf>
    <dxf>
      <font>
        <strike val="0"/>
        <outline val="0"/>
        <shadow val="0"/>
        <vertAlign val="baseline"/>
        <name val="Arial"/>
        <family val="2"/>
        <scheme val="none"/>
      </font>
    </dxf>
    <dxf>
      <fill>
        <patternFill patternType="solid">
          <fgColor rgb="FFDDF2F0"/>
          <bgColor rgb="FFDDF2F0"/>
        </patternFill>
      </fill>
    </dxf>
    <dxf>
      <fill>
        <patternFill patternType="solid">
          <fgColor rgb="FFFFFFFF"/>
          <bgColor rgb="FFFFFFFF"/>
        </patternFill>
      </fill>
    </dxf>
    <dxf>
      <fill>
        <patternFill patternType="solid">
          <fgColor rgb="FFDDF2F0"/>
          <bgColor rgb="FFDDF2F0"/>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s>
  <tableStyles count="2" defaultTableStyle="TableStyleMedium9" defaultPivotStyle="PivotStyleLight16">
    <tableStyle name="README-style" pivot="0" count="3" xr9:uid="{E9A0D9A3-586E-47EC-B611-79D29D81E1DC}">
      <tableStyleElement type="headerRow" dxfId="20"/>
      <tableStyleElement type="firstRowStripe" dxfId="19"/>
      <tableStyleElement type="secondRowStripe" dxfId="18"/>
    </tableStyle>
    <tableStyle name="README-style 2" pivot="0" count="3" xr9:uid="{F75F532A-5A8E-42E2-9467-D48331DA62F8}">
      <tableStyleElement type="headerRow" dxfId="17"/>
      <tableStyleElement type="firstRowStripe" dxfId="16"/>
      <tableStyleElement type="secondRowStripe" dxfId="1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916EA4F-55A9-48B9-955E-F8AB5065F138}" name="Table_1" displayName="Table_1" ref="B4:C11" headerRowDxfId="12" dataDxfId="10" totalsRowDxfId="11">
  <tableColumns count="2">
    <tableColumn id="1" xr3:uid="{A5F7E91A-C65F-4A74-A334-3279136A1796}" name="Copyright &amp; Contact" dataDxfId="14"/>
    <tableColumn id="2" xr3:uid="{EAC9E70D-5007-4030-9CD5-237A731B2B6F}" name="This was created by Evan Maindonald © 2024, Hyperlight Management Limited, Any questions, contact Evan@Hyperlight.Ventures_x000a_" dataDxfId="13"/>
  </tableColumns>
  <tableStyleInfo name="README-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057B51B-31C1-48AE-8E5A-15B0DEAA6D6D}" name="Table_2" displayName="Table_2" ref="B16:C17" headerRowDxfId="7" dataDxfId="5" totalsRowDxfId="6" headerRowCellStyle="20% - Accent1">
  <tableColumns count="2">
    <tableColumn id="1" xr3:uid="{42030400-39B9-4703-844D-3A0167C0ED19}" name="README" dataDxfId="9"/>
    <tableColumn id="2" xr3:uid="{C038F24A-B951-4519-BE02-04903FEF886B}" name="Contact into, overview on model. Safe to delete or hide." dataDxfId="8"/>
  </tableColumns>
  <tableStyleInfo name="README-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137E063-3F4C-4B95-87AF-E2F6AAFAF0F4}" name="Table_26" displayName="Table_26" ref="B18:C20" headerRowDxfId="0" dataDxfId="1" totalsRowDxfId="2" headerRowCellStyle="20% - Accent1">
  <tableColumns count="2">
    <tableColumn id="1" xr3:uid="{DAD16E5F-2D86-49BC-86FE-90D7D0ED2F9A}" name="P&amp;L" dataDxfId="4"/>
    <tableColumn id="2" xr3:uid="{D32C3E84-2C2B-42A9-A2EB-E06121B86CA1}" name="Projects profit on the project" dataDxfId="3"/>
  </tableColumns>
  <tableStyleInfo name="README-style 2" showFirstColumn="1" showLastColumn="1"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5B695-EB79-424B-BF3B-9AC80FC77AE1}">
  <dimension ref="A1:C21"/>
  <sheetViews>
    <sheetView workbookViewId="0">
      <selection activeCell="C12" sqref="C12"/>
    </sheetView>
  </sheetViews>
  <sheetFormatPr defaultColWidth="12.5703125" defaultRowHeight="12.75"/>
  <cols>
    <col min="1" max="1" width="4.140625" style="99" customWidth="1"/>
    <col min="2" max="2" width="35.140625" style="99" customWidth="1"/>
    <col min="3" max="3" width="65.5703125" style="99" customWidth="1"/>
    <col min="4" max="5" width="22.7109375" style="99" customWidth="1"/>
    <col min="6" max="16384" width="12.5703125" style="99"/>
  </cols>
  <sheetData>
    <row r="1" spans="1:3">
      <c r="A1" s="98"/>
    </row>
    <row r="2" spans="1:3" ht="18">
      <c r="B2" s="100" t="s">
        <v>194</v>
      </c>
    </row>
    <row r="3" spans="1:3">
      <c r="B3" s="101"/>
    </row>
    <row r="4" spans="1:3" ht="38.25">
      <c r="B4" s="102" t="s">
        <v>148</v>
      </c>
      <c r="C4" s="103" t="s">
        <v>149</v>
      </c>
    </row>
    <row r="5" spans="1:3" ht="51">
      <c r="B5" s="102" t="s">
        <v>150</v>
      </c>
      <c r="C5" s="93" t="s">
        <v>151</v>
      </c>
    </row>
    <row r="6" spans="1:3" ht="63.75">
      <c r="B6" s="102" t="s">
        <v>152</v>
      </c>
      <c r="C6" s="104" t="s">
        <v>153</v>
      </c>
    </row>
    <row r="7" spans="1:3" ht="38.25">
      <c r="B7" s="102" t="s">
        <v>154</v>
      </c>
      <c r="C7" s="104" t="s">
        <v>155</v>
      </c>
    </row>
    <row r="8" spans="1:3" ht="38.25">
      <c r="B8" s="102" t="s">
        <v>156</v>
      </c>
      <c r="C8" s="105" t="s">
        <v>157</v>
      </c>
    </row>
    <row r="9" spans="1:3" ht="25.5">
      <c r="B9" s="102" t="s">
        <v>158</v>
      </c>
      <c r="C9" s="104" t="s">
        <v>159</v>
      </c>
    </row>
    <row r="10" spans="1:3" ht="35.25" customHeight="1">
      <c r="B10" s="102" t="s">
        <v>160</v>
      </c>
      <c r="C10" s="95" t="s">
        <v>161</v>
      </c>
    </row>
    <row r="11" spans="1:3" ht="51">
      <c r="B11" s="102" t="s">
        <v>162</v>
      </c>
      <c r="C11" s="95" t="s">
        <v>196</v>
      </c>
    </row>
    <row r="12" spans="1:3" ht="15.75">
      <c r="B12" s="106"/>
      <c r="C12" s="107"/>
    </row>
    <row r="13" spans="1:3" ht="15.75">
      <c r="B13" s="106"/>
      <c r="C13" s="107"/>
    </row>
    <row r="14" spans="1:3" ht="15.75">
      <c r="B14" s="106" t="s">
        <v>163</v>
      </c>
      <c r="C14" s="107"/>
    </row>
    <row r="15" spans="1:3">
      <c r="B15" s="93"/>
      <c r="C15" s="107"/>
    </row>
    <row r="16" spans="1:3">
      <c r="B16" s="108" t="s">
        <v>164</v>
      </c>
      <c r="C16" s="108" t="s">
        <v>165</v>
      </c>
    </row>
    <row r="17" spans="2:3">
      <c r="B17" s="95" t="s">
        <v>150</v>
      </c>
      <c r="C17" s="99" t="s">
        <v>166</v>
      </c>
    </row>
    <row r="18" spans="2:3" ht="15">
      <c r="B18" s="94" t="s">
        <v>169</v>
      </c>
      <c r="C18" s="94" t="s">
        <v>170</v>
      </c>
    </row>
    <row r="19" spans="2:3">
      <c r="B19" s="95" t="s">
        <v>88</v>
      </c>
      <c r="C19" s="95" t="s">
        <v>195</v>
      </c>
    </row>
    <row r="20" spans="2:3">
      <c r="B20" s="108" t="s">
        <v>167</v>
      </c>
      <c r="C20" s="108" t="s">
        <v>168</v>
      </c>
    </row>
    <row r="21" spans="2:3">
      <c r="B21" s="109" t="s">
        <v>171</v>
      </c>
      <c r="C21" s="109" t="s">
        <v>172</v>
      </c>
    </row>
  </sheetData>
  <hyperlinks>
    <hyperlink ref="C5" location="License!A1" display="tl:dr; You can modify, edit, use, and share within your company (and with third-parties as needed to operate your business). You may not redistribute, resell, give away to others. Full license._x000a_" xr:uid="{B7B0FD58-50E4-457C-A1F8-6E0BD5C6372F}"/>
  </hyperlinks>
  <pageMargins left="0.7" right="0.7" top="0.75" bottom="0.75" header="0.3" footer="0.3"/>
  <tableParts count="3">
    <tablePart r:id="rId1"/>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30479-0CB4-4D2A-BB31-0AAF97976EC9}">
  <dimension ref="A1:B29"/>
  <sheetViews>
    <sheetView workbookViewId="0">
      <selection activeCell="D14" sqref="D14"/>
    </sheetView>
  </sheetViews>
  <sheetFormatPr defaultColWidth="12.5703125" defaultRowHeight="12.75"/>
  <cols>
    <col min="1" max="1" width="2.85546875" style="91" customWidth="1"/>
    <col min="2" max="2" width="79.140625" style="91" customWidth="1"/>
    <col min="3" max="16384" width="12.5703125" style="91"/>
  </cols>
  <sheetData>
    <row r="1" spans="1:2" ht="29.25" customHeight="1">
      <c r="A1" s="92"/>
      <c r="B1" s="92" t="s">
        <v>173</v>
      </c>
    </row>
    <row r="2" spans="1:2" ht="19.5" customHeight="1">
      <c r="A2" s="96"/>
      <c r="B2" s="91" t="s">
        <v>174</v>
      </c>
    </row>
    <row r="3" spans="1:2">
      <c r="A3" s="97"/>
      <c r="B3" s="97"/>
    </row>
    <row r="4" spans="1:2" ht="89.25">
      <c r="A4" s="97"/>
      <c r="B4" s="97" t="s">
        <v>175</v>
      </c>
    </row>
    <row r="5" spans="1:2">
      <c r="A5" s="97"/>
      <c r="B5" s="97"/>
    </row>
    <row r="6" spans="1:2">
      <c r="A6" s="97"/>
      <c r="B6" s="97" t="s">
        <v>176</v>
      </c>
    </row>
    <row r="7" spans="1:2">
      <c r="A7" s="97"/>
      <c r="B7" s="97"/>
    </row>
    <row r="8" spans="1:2">
      <c r="A8" s="97"/>
      <c r="B8" s="97" t="s">
        <v>177</v>
      </c>
    </row>
    <row r="9" spans="1:2" ht="25.5">
      <c r="A9" s="97"/>
      <c r="B9" s="97" t="s">
        <v>178</v>
      </c>
    </row>
    <row r="10" spans="1:2">
      <c r="A10" s="97"/>
      <c r="B10" s="97" t="s">
        <v>179</v>
      </c>
    </row>
    <row r="11" spans="1:2" ht="25.5">
      <c r="A11" s="97"/>
      <c r="B11" s="97" t="s">
        <v>180</v>
      </c>
    </row>
    <row r="12" spans="1:2" ht="25.5">
      <c r="A12" s="97"/>
      <c r="B12" s="97" t="s">
        <v>181</v>
      </c>
    </row>
    <row r="13" spans="1:2">
      <c r="A13" s="97"/>
      <c r="B13" s="97"/>
    </row>
    <row r="14" spans="1:2">
      <c r="A14" s="97"/>
      <c r="B14" s="97" t="s">
        <v>182</v>
      </c>
    </row>
    <row r="15" spans="1:2">
      <c r="A15" s="97"/>
      <c r="B15" s="97" t="s">
        <v>183</v>
      </c>
    </row>
    <row r="16" spans="1:2" ht="25.5">
      <c r="A16" s="97"/>
      <c r="B16" s="97" t="s">
        <v>184</v>
      </c>
    </row>
    <row r="17" spans="1:2">
      <c r="A17" s="97"/>
      <c r="B17" s="97" t="s">
        <v>185</v>
      </c>
    </row>
    <row r="18" spans="1:2" ht="25.5">
      <c r="A18" s="97"/>
      <c r="B18" s="97" t="s">
        <v>186</v>
      </c>
    </row>
    <row r="19" spans="1:2" ht="25.5">
      <c r="A19" s="97"/>
      <c r="B19" s="97" t="s">
        <v>187</v>
      </c>
    </row>
    <row r="20" spans="1:2" ht="25.5">
      <c r="A20" s="97"/>
      <c r="B20" s="97" t="s">
        <v>188</v>
      </c>
    </row>
    <row r="21" spans="1:2" ht="25.5">
      <c r="A21" s="97"/>
      <c r="B21" s="97" t="s">
        <v>189</v>
      </c>
    </row>
    <row r="22" spans="1:2">
      <c r="A22" s="97"/>
      <c r="B22" s="97"/>
    </row>
    <row r="23" spans="1:2" ht="140.25">
      <c r="A23" s="97"/>
      <c r="B23" s="97" t="s">
        <v>190</v>
      </c>
    </row>
    <row r="24" spans="1:2">
      <c r="A24" s="97"/>
      <c r="B24" s="97"/>
    </row>
    <row r="25" spans="1:2" ht="114.75">
      <c r="A25" s="97"/>
      <c r="B25" s="97" t="s">
        <v>191</v>
      </c>
    </row>
    <row r="26" spans="1:2">
      <c r="A26" s="97"/>
      <c r="B26" s="97"/>
    </row>
    <row r="27" spans="1:2" ht="76.5">
      <c r="A27" s="97"/>
      <c r="B27" s="97" t="s">
        <v>192</v>
      </c>
    </row>
    <row r="28" spans="1:2">
      <c r="A28" s="97"/>
      <c r="B28" s="97"/>
    </row>
    <row r="29" spans="1:2" ht="63.75">
      <c r="A29" s="97"/>
      <c r="B29" s="97" t="s">
        <v>193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6ED6E-0CA6-4AE1-93E9-FA597A35C9E2}">
  <sheetPr>
    <pageSetUpPr fitToPage="1"/>
  </sheetPr>
  <dimension ref="A2:Y76"/>
  <sheetViews>
    <sheetView tabSelected="1" zoomScaleNormal="100" workbookViewId="0">
      <selection activeCell="L21" sqref="L21"/>
    </sheetView>
  </sheetViews>
  <sheetFormatPr defaultRowHeight="12.75"/>
  <cols>
    <col min="1" max="1" width="40.42578125" customWidth="1"/>
    <col min="2" max="2" width="13.85546875" customWidth="1"/>
    <col min="3" max="3" width="11.42578125" customWidth="1"/>
    <col min="4" max="4" width="16.140625" customWidth="1"/>
    <col min="5" max="5" width="26.42578125" customWidth="1"/>
    <col min="6" max="6" width="6.28515625" customWidth="1"/>
    <col min="7" max="7" width="33.140625" customWidth="1"/>
    <col min="9" max="10" width="13.42578125" customWidth="1"/>
    <col min="11" max="11" width="14.5703125" customWidth="1"/>
    <col min="12" max="12" width="14.140625" customWidth="1"/>
    <col min="13" max="23" width="12.5703125" customWidth="1"/>
    <col min="24" max="24" width="4.5703125" customWidth="1"/>
    <col min="25" max="25" width="13.140625" customWidth="1"/>
  </cols>
  <sheetData>
    <row r="2" spans="1:25">
      <c r="A2" t="s">
        <v>24</v>
      </c>
      <c r="B2" s="32">
        <f>D29/D16</f>
        <v>0.45454545454545453</v>
      </c>
      <c r="G2" s="47" t="s">
        <v>88</v>
      </c>
      <c r="I2" s="48">
        <v>43435</v>
      </c>
      <c r="J2" s="48">
        <v>43466</v>
      </c>
      <c r="K2" s="48">
        <v>43497</v>
      </c>
      <c r="L2" s="48">
        <v>43525</v>
      </c>
      <c r="M2" s="48">
        <v>43556</v>
      </c>
      <c r="N2" s="48">
        <v>43586</v>
      </c>
      <c r="O2" s="48">
        <v>43617</v>
      </c>
      <c r="P2" s="48">
        <v>43647</v>
      </c>
      <c r="Q2" s="48">
        <v>43678</v>
      </c>
      <c r="R2" s="48">
        <v>43709</v>
      </c>
      <c r="S2" s="48">
        <v>43739</v>
      </c>
      <c r="T2" s="48">
        <v>43770</v>
      </c>
      <c r="U2" s="48">
        <v>43800</v>
      </c>
      <c r="V2" s="48">
        <v>43831</v>
      </c>
      <c r="W2" s="48">
        <v>43862</v>
      </c>
      <c r="Y2" s="67" t="s">
        <v>29</v>
      </c>
    </row>
    <row r="3" spans="1:25">
      <c r="A3" t="s">
        <v>25</v>
      </c>
      <c r="B3" s="32">
        <v>1</v>
      </c>
      <c r="D3" s="5" t="s">
        <v>5</v>
      </c>
      <c r="E3" s="16" t="s">
        <v>4</v>
      </c>
      <c r="G3" s="1" t="s">
        <v>89</v>
      </c>
      <c r="I3" s="43">
        <v>0.04</v>
      </c>
      <c r="J3" s="43">
        <v>0.06</v>
      </c>
      <c r="K3" s="43">
        <v>0.08</v>
      </c>
      <c r="L3" s="43">
        <v>0.1</v>
      </c>
      <c r="M3" s="43">
        <v>0.12</v>
      </c>
      <c r="N3" s="43">
        <v>0.12</v>
      </c>
      <c r="O3" s="43">
        <v>0.12</v>
      </c>
      <c r="P3" s="43">
        <v>0.12</v>
      </c>
      <c r="Q3" s="43">
        <v>0.12</v>
      </c>
      <c r="R3" s="43">
        <v>0.08</v>
      </c>
      <c r="S3" s="43">
        <v>0.04</v>
      </c>
      <c r="T3" s="43">
        <v>0</v>
      </c>
      <c r="U3" s="43">
        <v>0</v>
      </c>
      <c r="V3" s="43">
        <v>0</v>
      </c>
      <c r="W3" s="43">
        <v>0</v>
      </c>
      <c r="Y3" s="3">
        <f>SUM(I3:X3)</f>
        <v>1</v>
      </c>
    </row>
    <row r="4" spans="1:25">
      <c r="D4" s="33"/>
      <c r="E4" s="33"/>
      <c r="G4" s="1"/>
      <c r="I4" s="48"/>
      <c r="J4" s="43"/>
      <c r="K4" s="43"/>
      <c r="L4" s="43"/>
      <c r="M4" s="43"/>
      <c r="N4" s="43"/>
      <c r="O4" s="43"/>
      <c r="P4" s="43"/>
      <c r="Q4" s="43"/>
      <c r="R4" s="43"/>
      <c r="S4" s="43"/>
      <c r="T4" s="43"/>
      <c r="U4" s="43"/>
      <c r="V4" s="43"/>
    </row>
    <row r="5" spans="1:25">
      <c r="A5" s="1" t="s">
        <v>2</v>
      </c>
      <c r="B5" s="16"/>
      <c r="D5" s="34">
        <f>Sell!D36</f>
        <v>3201190</v>
      </c>
      <c r="E5" s="35">
        <f>D5/Sell!D26</f>
        <v>137.15467009425879</v>
      </c>
      <c r="G5" s="1" t="s">
        <v>90</v>
      </c>
      <c r="I5" s="48"/>
      <c r="J5" s="48"/>
      <c r="K5" s="48"/>
      <c r="L5" s="48"/>
      <c r="M5" s="48"/>
      <c r="N5" s="48"/>
      <c r="O5" s="48"/>
      <c r="P5" s="48"/>
      <c r="Q5" s="48"/>
      <c r="R5" s="48"/>
      <c r="S5" s="48"/>
      <c r="T5" s="48"/>
      <c r="U5" s="48"/>
      <c r="V5" s="48"/>
      <c r="W5" s="48"/>
    </row>
    <row r="6" spans="1:25">
      <c r="A6" s="1"/>
      <c r="B6" s="16"/>
      <c r="D6" s="34"/>
      <c r="E6" s="35"/>
      <c r="G6" s="4" t="s">
        <v>111</v>
      </c>
      <c r="I6" s="49">
        <f>654881.65+666069</f>
        <v>1320950.6499999999</v>
      </c>
      <c r="J6" s="49"/>
      <c r="K6" s="15"/>
    </row>
    <row r="7" spans="1:25">
      <c r="A7" s="1" t="s">
        <v>26</v>
      </c>
      <c r="D7" s="34"/>
      <c r="E7" s="34"/>
      <c r="G7" s="4" t="s">
        <v>123</v>
      </c>
      <c r="H7" s="9"/>
      <c r="I7" s="65">
        <f>D8*40%</f>
        <v>102438.08000000002</v>
      </c>
      <c r="J7" s="65">
        <f>$D$8*10%</f>
        <v>25609.520000000004</v>
      </c>
      <c r="K7" s="66">
        <f>$D$8*5%</f>
        <v>12804.760000000002</v>
      </c>
      <c r="L7" s="66">
        <f>$D$8*2%</f>
        <v>5121.9040000000005</v>
      </c>
      <c r="M7" s="66">
        <f t="shared" ref="M7:R7" si="0">$D$8*2%</f>
        <v>5121.9040000000005</v>
      </c>
      <c r="N7" s="66">
        <f t="shared" si="0"/>
        <v>5121.9040000000005</v>
      </c>
      <c r="O7" s="66">
        <f t="shared" si="0"/>
        <v>5121.9040000000005</v>
      </c>
      <c r="P7" s="66">
        <f t="shared" si="0"/>
        <v>5121.9040000000005</v>
      </c>
      <c r="Q7" s="66">
        <f t="shared" si="0"/>
        <v>5121.9040000000005</v>
      </c>
      <c r="R7" s="66">
        <f t="shared" si="0"/>
        <v>5121.9040000000005</v>
      </c>
      <c r="S7" s="66">
        <f>$D$8*1%</f>
        <v>2560.9520000000002</v>
      </c>
      <c r="T7" s="66"/>
      <c r="W7" s="49"/>
      <c r="Y7" s="76">
        <f>SUM(I7:X7)+D8*30%</f>
        <v>256095.20000000007</v>
      </c>
    </row>
    <row r="8" spans="1:25">
      <c r="A8" t="s">
        <v>6</v>
      </c>
      <c r="C8" s="3">
        <v>0.08</v>
      </c>
      <c r="D8" s="36">
        <f>D5*C8</f>
        <v>256095.2</v>
      </c>
      <c r="E8" s="36"/>
      <c r="G8" s="4" t="s">
        <v>116</v>
      </c>
      <c r="H8" s="9"/>
      <c r="I8" s="2">
        <f>D14</f>
        <v>91000</v>
      </c>
      <c r="J8" s="65">
        <f>Sell!$D$34/12</f>
        <v>0</v>
      </c>
      <c r="K8" s="65">
        <f>Sell!$D$34/12</f>
        <v>0</v>
      </c>
      <c r="L8" s="65">
        <f>Sell!$D$34/12</f>
        <v>0</v>
      </c>
      <c r="M8" s="65">
        <f>Sell!$D$34/12</f>
        <v>0</v>
      </c>
      <c r="N8" s="65">
        <f>Sell!$D$34/12</f>
        <v>0</v>
      </c>
      <c r="O8" s="65">
        <f>Sell!$D$34/12</f>
        <v>0</v>
      </c>
      <c r="P8" s="65">
        <f>Sell!$D$34/12</f>
        <v>0</v>
      </c>
      <c r="Q8" s="65">
        <f>Sell!$D$34/12</f>
        <v>0</v>
      </c>
      <c r="R8" s="65">
        <f>Sell!$D$34/12</f>
        <v>0</v>
      </c>
      <c r="S8" s="65">
        <f>Sell!$D$34/12</f>
        <v>0</v>
      </c>
      <c r="T8" s="65">
        <f>Sell!$D$34/12</f>
        <v>0</v>
      </c>
      <c r="U8" s="65"/>
      <c r="V8" s="65"/>
      <c r="W8" s="65"/>
      <c r="Y8" s="15">
        <f>SUM(I8:X8)</f>
        <v>91000</v>
      </c>
    </row>
    <row r="9" spans="1:25">
      <c r="A9" s="4" t="s">
        <v>86</v>
      </c>
      <c r="C9" s="3">
        <v>1.4999999999999999E-2</v>
      </c>
      <c r="D9" s="36">
        <f>C9*E33+I12</f>
        <v>87500</v>
      </c>
      <c r="E9" s="36" t="s">
        <v>27</v>
      </c>
      <c r="G9" s="4" t="s">
        <v>91</v>
      </c>
      <c r="I9" s="2">
        <f>($D$5+$D$13)*I3</f>
        <v>134449.98000000001</v>
      </c>
      <c r="J9" s="2">
        <f t="shared" ref="J9:W9" si="1">($D$5+$D$13)*J3</f>
        <v>201674.97</v>
      </c>
      <c r="K9" s="2">
        <f t="shared" si="1"/>
        <v>268899.96000000002</v>
      </c>
      <c r="L9" s="2">
        <f t="shared" si="1"/>
        <v>336124.95</v>
      </c>
      <c r="M9" s="2">
        <f t="shared" si="1"/>
        <v>403349.94</v>
      </c>
      <c r="N9" s="2">
        <f t="shared" si="1"/>
        <v>403349.94</v>
      </c>
      <c r="O9" s="2">
        <f t="shared" si="1"/>
        <v>403349.94</v>
      </c>
      <c r="P9" s="2">
        <f t="shared" si="1"/>
        <v>403349.94</v>
      </c>
      <c r="Q9" s="2">
        <f t="shared" si="1"/>
        <v>403349.94</v>
      </c>
      <c r="R9" s="2">
        <f t="shared" si="1"/>
        <v>268899.96000000002</v>
      </c>
      <c r="S9" s="2">
        <f t="shared" si="1"/>
        <v>134449.98000000001</v>
      </c>
      <c r="T9" s="2">
        <f t="shared" si="1"/>
        <v>0</v>
      </c>
      <c r="U9" s="2">
        <f t="shared" si="1"/>
        <v>0</v>
      </c>
      <c r="V9" s="2">
        <f t="shared" si="1"/>
        <v>0</v>
      </c>
      <c r="W9" s="2">
        <f t="shared" si="1"/>
        <v>0</v>
      </c>
      <c r="Y9" s="15">
        <f>SUM(I9:X9)</f>
        <v>3361249.5</v>
      </c>
    </row>
    <row r="10" spans="1:25">
      <c r="A10" s="4" t="s">
        <v>28</v>
      </c>
      <c r="C10" s="3">
        <v>0</v>
      </c>
      <c r="D10" s="36">
        <f>C10*E33</f>
        <v>0</v>
      </c>
      <c r="E10" s="36" t="s">
        <v>27</v>
      </c>
      <c r="G10" t="s">
        <v>92</v>
      </c>
      <c r="I10" s="39">
        <f>D9-I12</f>
        <v>67500</v>
      </c>
      <c r="J10" s="39"/>
      <c r="K10" s="49"/>
      <c r="L10" s="49"/>
      <c r="M10" s="49"/>
      <c r="N10" s="49"/>
      <c r="O10" s="49"/>
      <c r="P10" s="49"/>
      <c r="Q10" s="49"/>
      <c r="R10" s="49"/>
      <c r="S10" s="49"/>
      <c r="T10" s="49"/>
      <c r="U10" s="49"/>
      <c r="V10" s="49"/>
      <c r="W10" s="49"/>
    </row>
    <row r="11" spans="1:25">
      <c r="A11" t="s">
        <v>107</v>
      </c>
      <c r="C11" s="77">
        <v>0.09</v>
      </c>
      <c r="D11" s="36">
        <f>-SUM(I28:W28)</f>
        <v>138514.85383766663</v>
      </c>
      <c r="E11" s="36"/>
      <c r="G11" t="s">
        <v>93</v>
      </c>
      <c r="I11" s="49"/>
      <c r="J11" s="49"/>
      <c r="K11" s="49"/>
      <c r="L11" s="49"/>
      <c r="M11" s="49"/>
      <c r="N11" s="49"/>
      <c r="O11" s="49"/>
      <c r="P11" s="49"/>
      <c r="Q11" s="49"/>
      <c r="R11" s="49"/>
      <c r="S11" s="49"/>
      <c r="T11" s="49">
        <f>D10</f>
        <v>0</v>
      </c>
      <c r="U11" s="49">
        <f>U31*$C$10</f>
        <v>0</v>
      </c>
      <c r="V11" s="49">
        <f>V31*$C$10</f>
        <v>0</v>
      </c>
      <c r="W11" s="49">
        <f>W31*$C$10</f>
        <v>0</v>
      </c>
    </row>
    <row r="12" spans="1:25">
      <c r="A12" s="13" t="s">
        <v>7</v>
      </c>
      <c r="C12" s="3">
        <v>0.02</v>
      </c>
      <c r="D12" s="36">
        <f>C12*$D$20</f>
        <v>134600</v>
      </c>
      <c r="E12" s="36"/>
      <c r="G12" t="s">
        <v>94</v>
      </c>
      <c r="I12" s="49">
        <v>20000</v>
      </c>
      <c r="J12" s="49"/>
      <c r="K12" s="49"/>
      <c r="L12" s="49"/>
      <c r="M12" s="49"/>
      <c r="N12" s="49"/>
      <c r="O12" s="49"/>
      <c r="P12" s="49">
        <f t="shared" ref="P12:W12" si="2">P23*0.5%</f>
        <v>6150</v>
      </c>
      <c r="Q12" s="49">
        <f t="shared" si="2"/>
        <v>3690</v>
      </c>
      <c r="R12" s="49">
        <f t="shared" si="2"/>
        <v>13135</v>
      </c>
      <c r="S12" s="49">
        <f t="shared" si="2"/>
        <v>6405</v>
      </c>
      <c r="T12" s="49">
        <f t="shared" si="2"/>
        <v>4270</v>
      </c>
      <c r="U12" s="49">
        <f t="shared" si="2"/>
        <v>0</v>
      </c>
      <c r="V12" s="49">
        <f t="shared" si="2"/>
        <v>0</v>
      </c>
      <c r="W12" s="49">
        <f t="shared" si="2"/>
        <v>0</v>
      </c>
    </row>
    <row r="13" spans="1:25">
      <c r="A13" t="s">
        <v>8</v>
      </c>
      <c r="C13" s="3">
        <v>0.05</v>
      </c>
      <c r="D13" s="36">
        <f>C13*$D$5</f>
        <v>160059.5</v>
      </c>
      <c r="E13" s="36"/>
      <c r="G13" t="s">
        <v>114</v>
      </c>
      <c r="I13" s="39"/>
      <c r="J13" s="50"/>
      <c r="K13" s="49"/>
      <c r="L13" s="49"/>
      <c r="M13" s="49"/>
      <c r="N13" s="49"/>
      <c r="O13" s="49"/>
      <c r="P13" s="49">
        <f t="shared" ref="P13:W13" si="3">P23*1.5%</f>
        <v>18450</v>
      </c>
      <c r="Q13" s="49">
        <f t="shared" si="3"/>
        <v>11070</v>
      </c>
      <c r="R13" s="49">
        <f t="shared" si="3"/>
        <v>39405</v>
      </c>
      <c r="S13" s="49">
        <f t="shared" si="3"/>
        <v>19215</v>
      </c>
      <c r="T13" s="49">
        <f t="shared" si="3"/>
        <v>12810</v>
      </c>
      <c r="U13" s="49">
        <f t="shared" si="3"/>
        <v>0</v>
      </c>
      <c r="V13" s="49">
        <f t="shared" si="3"/>
        <v>0</v>
      </c>
      <c r="W13" s="49">
        <f t="shared" si="3"/>
        <v>0</v>
      </c>
    </row>
    <row r="14" spans="1:25">
      <c r="A14" s="4" t="s">
        <v>30</v>
      </c>
      <c r="D14" s="37">
        <v>91000</v>
      </c>
      <c r="I14" s="49"/>
      <c r="J14" s="49"/>
      <c r="K14" s="49"/>
      <c r="L14" s="49"/>
      <c r="M14" s="49"/>
      <c r="N14" s="49"/>
      <c r="O14" s="49"/>
      <c r="P14" s="49"/>
      <c r="Q14" s="49"/>
      <c r="R14" s="49"/>
      <c r="S14" s="49"/>
      <c r="T14" s="49"/>
      <c r="U14" s="49"/>
      <c r="V14" s="49"/>
      <c r="W14" s="49"/>
    </row>
    <row r="15" spans="1:25">
      <c r="A15" s="1" t="s">
        <v>3</v>
      </c>
      <c r="B15" s="1"/>
      <c r="C15" s="10"/>
      <c r="D15" s="34">
        <f>SUM(D5:D14)</f>
        <v>4068959.5538376668</v>
      </c>
      <c r="E15" s="34"/>
      <c r="G15" s="1" t="s">
        <v>95</v>
      </c>
      <c r="H15" s="1"/>
      <c r="I15" s="50">
        <f t="shared" ref="I15:W15" si="4">SUM(I5:I13)</f>
        <v>1736338.71</v>
      </c>
      <c r="J15" s="50">
        <f t="shared" si="4"/>
        <v>227284.49</v>
      </c>
      <c r="K15" s="50">
        <f t="shared" si="4"/>
        <v>281704.72000000003</v>
      </c>
      <c r="L15" s="50">
        <f t="shared" si="4"/>
        <v>341246.85399999999</v>
      </c>
      <c r="M15" s="50">
        <f t="shared" si="4"/>
        <v>408471.84399999998</v>
      </c>
      <c r="N15" s="50">
        <f t="shared" si="4"/>
        <v>408471.84399999998</v>
      </c>
      <c r="O15" s="50">
        <f t="shared" si="4"/>
        <v>408471.84399999998</v>
      </c>
      <c r="P15" s="50">
        <f t="shared" si="4"/>
        <v>433071.84399999998</v>
      </c>
      <c r="Q15" s="50">
        <f t="shared" si="4"/>
        <v>423231.84399999998</v>
      </c>
      <c r="R15" s="50">
        <f t="shared" si="4"/>
        <v>326561.864</v>
      </c>
      <c r="S15" s="50">
        <f t="shared" si="4"/>
        <v>162630.932</v>
      </c>
      <c r="T15" s="50">
        <f t="shared" si="4"/>
        <v>17080</v>
      </c>
      <c r="U15" s="50">
        <f t="shared" si="4"/>
        <v>0</v>
      </c>
      <c r="V15" s="50">
        <f t="shared" si="4"/>
        <v>0</v>
      </c>
      <c r="W15" s="50">
        <f t="shared" si="4"/>
        <v>0</v>
      </c>
    </row>
    <row r="16" spans="1:25">
      <c r="A16" s="1" t="s">
        <v>31</v>
      </c>
      <c r="B16" s="1"/>
      <c r="C16" s="11"/>
      <c r="D16" s="34">
        <v>1100000</v>
      </c>
      <c r="E16" s="34"/>
      <c r="I16" s="49"/>
      <c r="J16" s="49"/>
      <c r="K16" s="50"/>
      <c r="L16" s="50"/>
      <c r="M16" s="50"/>
      <c r="N16" s="50"/>
      <c r="O16" s="50"/>
      <c r="P16" s="50"/>
      <c r="Q16" s="50"/>
      <c r="R16" s="50"/>
      <c r="S16" s="50"/>
      <c r="T16" s="50"/>
      <c r="U16" s="50"/>
      <c r="V16" s="50"/>
      <c r="W16" s="50"/>
    </row>
    <row r="17" spans="1:25" s="1" customFormat="1">
      <c r="A17" s="4" t="s">
        <v>113</v>
      </c>
      <c r="C17" s="38">
        <v>0.05</v>
      </c>
      <c r="D17" s="36">
        <f>C17*D16+50000</f>
        <v>105000</v>
      </c>
      <c r="E17" s="39"/>
      <c r="G17" s="1" t="s">
        <v>96</v>
      </c>
      <c r="H17"/>
      <c r="I17" s="49"/>
      <c r="J17" s="49"/>
      <c r="K17" s="50"/>
      <c r="L17" s="50"/>
      <c r="M17" s="50"/>
      <c r="N17" s="50"/>
      <c r="O17" s="50"/>
      <c r="P17" s="50"/>
      <c r="Q17" s="50"/>
      <c r="R17" s="50"/>
      <c r="S17" s="50"/>
      <c r="T17" s="50"/>
      <c r="U17" s="50"/>
      <c r="V17" s="50"/>
      <c r="W17" s="50"/>
      <c r="X17"/>
      <c r="Y17"/>
    </row>
    <row r="18" spans="1:25">
      <c r="A18" s="1" t="s">
        <v>0</v>
      </c>
      <c r="B18" s="1"/>
      <c r="C18" s="11"/>
      <c r="D18" s="34">
        <f>SUM(D15:D17)</f>
        <v>5273959.5538376663</v>
      </c>
      <c r="E18" s="34"/>
      <c r="F18" s="1"/>
      <c r="G18" s="1"/>
      <c r="I18" s="49"/>
      <c r="J18" s="49"/>
      <c r="K18" s="50"/>
      <c r="L18" s="50"/>
      <c r="M18" s="50"/>
      <c r="N18" s="50"/>
      <c r="O18" s="50"/>
      <c r="P18" s="50"/>
      <c r="Q18" s="50"/>
      <c r="R18" s="50"/>
      <c r="S18" s="50"/>
      <c r="T18" s="50"/>
      <c r="U18" s="50"/>
      <c r="V18" s="50"/>
      <c r="W18" s="50"/>
      <c r="X18" s="1"/>
      <c r="Y18" s="1"/>
    </row>
    <row r="19" spans="1:25">
      <c r="A19" s="1"/>
      <c r="B19" s="1"/>
      <c r="C19" s="11"/>
      <c r="D19" s="34"/>
      <c r="E19" s="34"/>
      <c r="G19" t="s">
        <v>124</v>
      </c>
      <c r="I19" s="49">
        <v>1000000</v>
      </c>
      <c r="J19" s="49"/>
      <c r="K19" s="49"/>
      <c r="L19" s="49"/>
      <c r="M19" s="49"/>
      <c r="N19" s="49"/>
      <c r="O19" s="49"/>
      <c r="P19" s="49"/>
      <c r="Q19" s="49"/>
      <c r="R19" s="49"/>
      <c r="S19" s="49"/>
      <c r="T19" s="49"/>
      <c r="U19" s="49"/>
      <c r="V19" s="49"/>
      <c r="W19" s="49"/>
    </row>
    <row r="20" spans="1:25">
      <c r="A20" s="1" t="s">
        <v>1</v>
      </c>
      <c r="B20" s="1"/>
      <c r="C20" s="1"/>
      <c r="D20" s="34">
        <f>Sell!I26</f>
        <v>6730000</v>
      </c>
      <c r="E20" s="35">
        <f>D20/Sell!D26</f>
        <v>288.34618680377037</v>
      </c>
      <c r="G20" t="s">
        <v>97</v>
      </c>
      <c r="I20" s="49">
        <f>D29</f>
        <v>500000</v>
      </c>
      <c r="J20" s="49"/>
      <c r="K20" s="49"/>
      <c r="L20" s="49"/>
      <c r="M20" s="49"/>
      <c r="N20" s="49"/>
      <c r="O20" s="49"/>
      <c r="P20" s="49"/>
      <c r="Q20" s="49"/>
      <c r="R20" s="49"/>
      <c r="S20" s="49"/>
      <c r="T20" s="49"/>
      <c r="U20" s="49"/>
      <c r="V20" s="49"/>
      <c r="W20" s="49"/>
    </row>
    <row r="21" spans="1:25">
      <c r="A21" s="1"/>
      <c r="B21" s="1"/>
      <c r="C21" s="11"/>
      <c r="D21" s="34"/>
      <c r="E21" s="34"/>
      <c r="G21" t="s">
        <v>98</v>
      </c>
      <c r="I21" s="49">
        <f>SUM(I7:I13)+D8*40%</f>
        <v>517826.14000000007</v>
      </c>
      <c r="J21" s="49">
        <f>SUM(J7:J13)</f>
        <v>227284.49</v>
      </c>
      <c r="K21" s="49">
        <f>SUM(K7:K13)</f>
        <v>281704.72000000003</v>
      </c>
      <c r="L21" s="49">
        <f t="shared" ref="L21:W21" si="5">SUM(L7:L13)</f>
        <v>341246.85399999999</v>
      </c>
      <c r="M21" s="49">
        <f t="shared" si="5"/>
        <v>408471.84399999998</v>
      </c>
      <c r="N21" s="49">
        <f t="shared" si="5"/>
        <v>408471.84399999998</v>
      </c>
      <c r="O21" s="49">
        <f t="shared" si="5"/>
        <v>408471.84399999998</v>
      </c>
      <c r="P21" s="49">
        <f t="shared" si="5"/>
        <v>433071.84399999998</v>
      </c>
      <c r="Q21" s="49">
        <f t="shared" si="5"/>
        <v>423231.84399999998</v>
      </c>
      <c r="R21" s="49">
        <f t="shared" si="5"/>
        <v>326561.864</v>
      </c>
      <c r="S21" s="49">
        <f t="shared" si="5"/>
        <v>162630.932</v>
      </c>
      <c r="T21" s="49">
        <f t="shared" si="5"/>
        <v>17080</v>
      </c>
      <c r="U21" s="49">
        <f t="shared" si="5"/>
        <v>0</v>
      </c>
      <c r="V21" s="49">
        <f t="shared" si="5"/>
        <v>0</v>
      </c>
      <c r="W21" s="49">
        <f t="shared" si="5"/>
        <v>0</v>
      </c>
      <c r="Y21" s="15"/>
    </row>
    <row r="22" spans="1:25">
      <c r="A22" s="1" t="s">
        <v>32</v>
      </c>
      <c r="B22" s="1"/>
      <c r="C22" s="11">
        <f>D22/D20</f>
        <v>0.21635073494239729</v>
      </c>
      <c r="D22" s="34">
        <f>D20-D18</f>
        <v>1456040.4461623337</v>
      </c>
      <c r="E22" s="34"/>
      <c r="G22" t="s">
        <v>99</v>
      </c>
      <c r="H22" s="9">
        <v>0.7</v>
      </c>
      <c r="I22" s="49"/>
      <c r="J22" s="49"/>
      <c r="K22" s="49"/>
      <c r="L22" s="49"/>
      <c r="M22" s="49"/>
      <c r="N22" s="49"/>
      <c r="O22" s="49"/>
      <c r="P22" s="49">
        <f>(SUM(Sell!$I$4:$I$9)*P39+SUM(Sell!$I$10:$I$24)*'P&amp;L'!P40)*$H$22</f>
        <v>0</v>
      </c>
      <c r="Q22" s="49">
        <f>(SUM(Sell!$I$4:$I$9)*Q39+SUM(Sell!$I$10:$I$24)*'P&amp;L'!Q40)*$H$22</f>
        <v>0</v>
      </c>
      <c r="R22" s="49">
        <f>(SUM(Sell!$I$4:$I$9)*R39+SUM(Sell!$I$10:$I$24)*'P&amp;L'!R40)*$H$22</f>
        <v>0</v>
      </c>
      <c r="S22" s="49">
        <f>(SUM(Sell!$I$4:$I$9)*S39+SUM(Sell!$I$10:$I$24)*'P&amp;L'!S40)*$H$22</f>
        <v>0</v>
      </c>
      <c r="T22" s="49">
        <f>(SUM(Sell!$I$4:$I$9)*T39+SUM(Sell!$I$10:$I$24)*'P&amp;L'!T40)*$H$22</f>
        <v>0</v>
      </c>
      <c r="U22" s="49"/>
      <c r="V22" s="49"/>
      <c r="W22" s="39"/>
    </row>
    <row r="23" spans="1:25" s="1" customFormat="1">
      <c r="A23" s="1" t="s">
        <v>112</v>
      </c>
      <c r="C23" s="11">
        <f>D22/D18</f>
        <v>0.27608107936717619</v>
      </c>
      <c r="D23" s="34"/>
      <c r="E23" s="34"/>
      <c r="F23" s="8"/>
      <c r="G23" t="s">
        <v>100</v>
      </c>
      <c r="H23"/>
      <c r="I23" s="49"/>
      <c r="J23" s="49"/>
      <c r="K23" s="49"/>
      <c r="L23" s="49"/>
      <c r="M23" s="49"/>
      <c r="N23" s="49"/>
      <c r="O23" s="49"/>
      <c r="P23" s="49">
        <f>SUM(Sell!$I$4:$I$9)*P36+SUM(Sell!$I$10:$I$24)*'P&amp;L'!P37</f>
        <v>1230000</v>
      </c>
      <c r="Q23" s="49">
        <f>SUM(Sell!$I$4:$I$9)*Q36+SUM(Sell!$I$10:$I$24)*'P&amp;L'!Q37</f>
        <v>738000</v>
      </c>
      <c r="R23" s="49">
        <f>SUM(Sell!$I$4:$I$9)*R36+SUM(Sell!$I$10:$I$24)*'P&amp;L'!R37</f>
        <v>2627000</v>
      </c>
      <c r="S23" s="49">
        <f>SUM(Sell!$I$4:$I$9)*S36+SUM(Sell!$I$10:$I$24)*'P&amp;L'!S37</f>
        <v>1281000</v>
      </c>
      <c r="T23" s="49">
        <f>SUM(Sell!$I$4:$I$9)*T36+SUM(Sell!$I$10:$I$24)*'P&amp;L'!T37</f>
        <v>854000</v>
      </c>
      <c r="U23" s="49">
        <f>SUM(Sell!$I$4:$I$9)*U36+SUM(Sell!$I$10:$I$24)*'P&amp;L'!U37</f>
        <v>0</v>
      </c>
      <c r="V23" s="49">
        <f>SUM(Sell!$I$4:$I$9)*V36+SUM(Sell!$I$10:$I$24)*'P&amp;L'!V37</f>
        <v>0</v>
      </c>
      <c r="W23" s="49">
        <f>SUM(Sell!$I$4:$I$9)*W36+SUM(Sell!$I$10:$I$24)*'P&amp;L'!W37</f>
        <v>0</v>
      </c>
      <c r="X23"/>
      <c r="Y23" s="15">
        <f>SUM(I23:W23)</f>
        <v>6730000</v>
      </c>
    </row>
    <row r="24" spans="1:25">
      <c r="D24" s="12"/>
      <c r="E24" s="12"/>
      <c r="I24" s="49"/>
      <c r="J24" s="49"/>
      <c r="K24" s="49"/>
      <c r="L24" s="49"/>
      <c r="M24" s="49"/>
      <c r="N24" s="49"/>
      <c r="O24" s="49"/>
      <c r="P24" s="49"/>
      <c r="Q24" s="49"/>
      <c r="R24" s="49"/>
      <c r="S24" s="49"/>
      <c r="T24" s="49"/>
      <c r="U24" s="49"/>
      <c r="V24" s="49"/>
      <c r="W24" s="49"/>
      <c r="X24" s="1"/>
      <c r="Y24" s="1"/>
    </row>
    <row r="25" spans="1:25">
      <c r="A25" s="1" t="s">
        <v>33</v>
      </c>
      <c r="B25" s="1"/>
      <c r="C25" s="1"/>
      <c r="D25" s="8">
        <f>D18-D12-D10</f>
        <v>5139359.5538376663</v>
      </c>
      <c r="E25" s="1"/>
      <c r="G25" s="1" t="s">
        <v>101</v>
      </c>
      <c r="H25" s="1"/>
      <c r="I25" s="50">
        <f>SUM(I19:I23)</f>
        <v>2017826.1400000001</v>
      </c>
      <c r="J25" s="50">
        <f t="shared" ref="J25:W25" si="6">SUM(J19:J23)</f>
        <v>227284.49</v>
      </c>
      <c r="K25" s="50">
        <f t="shared" si="6"/>
        <v>281704.72000000003</v>
      </c>
      <c r="L25" s="50">
        <f t="shared" si="6"/>
        <v>341246.85399999999</v>
      </c>
      <c r="M25" s="50">
        <f t="shared" si="6"/>
        <v>408471.84399999998</v>
      </c>
      <c r="N25" s="50">
        <f t="shared" si="6"/>
        <v>408471.84399999998</v>
      </c>
      <c r="O25" s="50">
        <f t="shared" si="6"/>
        <v>408471.84399999998</v>
      </c>
      <c r="P25" s="50">
        <f t="shared" si="6"/>
        <v>1663071.844</v>
      </c>
      <c r="Q25" s="50">
        <f t="shared" si="6"/>
        <v>1161231.844</v>
      </c>
      <c r="R25" s="50">
        <f>SUM(R19:R23)</f>
        <v>2953561.8640000001</v>
      </c>
      <c r="S25" s="50">
        <f>SUM(S19:S23)</f>
        <v>1443630.932</v>
      </c>
      <c r="T25" s="50">
        <f>SUM(T19:T23)</f>
        <v>871080</v>
      </c>
      <c r="U25" s="50">
        <f t="shared" si="6"/>
        <v>0</v>
      </c>
      <c r="V25" s="50">
        <f t="shared" si="6"/>
        <v>0</v>
      </c>
      <c r="W25" s="50">
        <f t="shared" si="6"/>
        <v>0</v>
      </c>
    </row>
    <row r="26" spans="1:25">
      <c r="D26" s="15"/>
      <c r="I26" s="50"/>
      <c r="J26" s="50"/>
      <c r="K26" s="50"/>
      <c r="L26" s="50"/>
      <c r="M26" s="50"/>
      <c r="N26" s="50"/>
      <c r="O26" s="50"/>
      <c r="P26" s="50"/>
      <c r="Q26" s="50"/>
      <c r="R26" s="50"/>
      <c r="S26" s="50"/>
      <c r="T26" s="50"/>
      <c r="U26" s="50"/>
      <c r="V26" s="50"/>
      <c r="W26" s="50"/>
    </row>
    <row r="27" spans="1:25">
      <c r="A27" s="1" t="s">
        <v>34</v>
      </c>
      <c r="D27" s="15"/>
      <c r="G27" s="1" t="s">
        <v>102</v>
      </c>
      <c r="H27" s="1"/>
      <c r="I27" s="50">
        <f t="shared" ref="I27:O27" si="7">I25-I15+H27-I31</f>
        <v>281487.43000000017</v>
      </c>
      <c r="J27" s="50">
        <f t="shared" si="7"/>
        <v>281487.43000000017</v>
      </c>
      <c r="K27" s="50">
        <f t="shared" si="7"/>
        <v>281487.43000000017</v>
      </c>
      <c r="L27" s="50">
        <f t="shared" si="7"/>
        <v>281487.43000000017</v>
      </c>
      <c r="M27" s="50">
        <f t="shared" si="7"/>
        <v>281487.43000000017</v>
      </c>
      <c r="N27" s="50">
        <f t="shared" si="7"/>
        <v>281487.43000000017</v>
      </c>
      <c r="O27" s="50">
        <f t="shared" si="7"/>
        <v>281487.43000000017</v>
      </c>
      <c r="P27" s="50">
        <f>P25-P15+O27-P31</f>
        <v>291487.43000000017</v>
      </c>
      <c r="Q27" s="50">
        <f>Q25-Q15+P27-Q31</f>
        <v>284487.43000000017</v>
      </c>
      <c r="R27" s="50">
        <f>R25-R15+Q27-R31</f>
        <v>461629.43000000017</v>
      </c>
      <c r="S27" s="50">
        <f>S25-S15+R27-S31-S32</f>
        <v>1579998.4300000002</v>
      </c>
      <c r="T27" s="50">
        <f>T25-T15+S27-T31-T32</f>
        <v>2416918.4300000002</v>
      </c>
      <c r="U27" s="50">
        <f>U25-U15+T27-U31-U32</f>
        <v>2416918.4300000002</v>
      </c>
      <c r="V27" s="50">
        <f>V25-V15+U27-V31-V32</f>
        <v>2416918.4300000002</v>
      </c>
      <c r="W27" s="50">
        <f>W25-W15+V27-W31-W32</f>
        <v>2416918.4300000002</v>
      </c>
    </row>
    <row r="28" spans="1:25">
      <c r="A28" s="4" t="s">
        <v>41</v>
      </c>
      <c r="C28" s="9"/>
      <c r="D28" s="33">
        <f>D18-D12-SUM(D29:D32)-D10</f>
        <v>795999.99999999907</v>
      </c>
      <c r="E28" s="15"/>
      <c r="G28" t="s">
        <v>103</v>
      </c>
      <c r="H28" s="3">
        <f>C11</f>
        <v>0.09</v>
      </c>
      <c r="I28" s="49">
        <f>-I29*$H$28/12</f>
        <v>-7633.6960500000014</v>
      </c>
      <c r="J28" s="49">
        <f>-J29*$H$28/12</f>
        <v>-9395.582445375001</v>
      </c>
      <c r="K28" s="49">
        <f t="shared" ref="K28:U28" si="8">-K29*$H$28/12</f>
        <v>-11578.834713715312</v>
      </c>
      <c r="L28" s="49">
        <f t="shared" si="8"/>
        <v>-14225.02737906818</v>
      </c>
      <c r="M28" s="49">
        <f t="shared" si="8"/>
        <v>-17395.253914411191</v>
      </c>
      <c r="N28" s="49">
        <f t="shared" si="8"/>
        <v>-20589.257148769273</v>
      </c>
      <c r="O28" s="49">
        <f t="shared" si="8"/>
        <v>-23807.215407385043</v>
      </c>
      <c r="P28" s="49">
        <f t="shared" si="8"/>
        <v>-18083.808352940432</v>
      </c>
      <c r="Q28" s="49">
        <f t="shared" si="8"/>
        <v>-15806.175745587483</v>
      </c>
      <c r="R28" s="49">
        <f t="shared" si="8"/>
        <v>-1.0436793894041329E-3</v>
      </c>
      <c r="S28" s="49">
        <f t="shared" si="8"/>
        <v>-5.4150698488228952E-4</v>
      </c>
      <c r="T28" s="49">
        <f t="shared" si="8"/>
        <v>-5.4556828727982066E-4</v>
      </c>
      <c r="U28" s="49">
        <f t="shared" si="8"/>
        <v>-5.4966004943441933E-4</v>
      </c>
      <c r="V28" s="49">
        <v>0</v>
      </c>
      <c r="W28" s="49">
        <v>0</v>
      </c>
    </row>
    <row r="29" spans="1:25" s="1" customFormat="1">
      <c r="A29" t="s">
        <v>35</v>
      </c>
      <c r="B29"/>
      <c r="C29"/>
      <c r="D29" s="15">
        <v>500000</v>
      </c>
      <c r="E29" s="15"/>
      <c r="F29"/>
      <c r="G29" s="1" t="s">
        <v>104</v>
      </c>
      <c r="I29" s="50">
        <f>I20+I21</f>
        <v>1017826.1400000001</v>
      </c>
      <c r="J29" s="50">
        <f t="shared" ref="J29:V29" si="9">J20+I29-I28+J21-J31</f>
        <v>1252744.3260500003</v>
      </c>
      <c r="K29" s="50">
        <f t="shared" si="9"/>
        <v>1543844.6284953752</v>
      </c>
      <c r="L29" s="50">
        <f t="shared" si="9"/>
        <v>1896670.3172090906</v>
      </c>
      <c r="M29" s="50">
        <f t="shared" si="9"/>
        <v>2319367.1885881587</v>
      </c>
      <c r="N29" s="50">
        <f t="shared" si="9"/>
        <v>2745234.2865025699</v>
      </c>
      <c r="O29" s="50">
        <f t="shared" si="9"/>
        <v>3174295.3876513392</v>
      </c>
      <c r="P29" s="50">
        <f t="shared" si="9"/>
        <v>2411174.4470587242</v>
      </c>
      <c r="Q29" s="50">
        <f t="shared" si="9"/>
        <v>2107490.0994116645</v>
      </c>
      <c r="R29" s="50">
        <f t="shared" si="9"/>
        <v>0.13915725192055106</v>
      </c>
      <c r="S29" s="50">
        <f t="shared" si="9"/>
        <v>7.2200931317638606E-2</v>
      </c>
      <c r="T29" s="50">
        <f t="shared" si="9"/>
        <v>7.2742438303976087E-2</v>
      </c>
      <c r="U29" s="50">
        <f t="shared" si="9"/>
        <v>7.3288006591255908E-2</v>
      </c>
      <c r="V29" s="50">
        <f t="shared" si="9"/>
        <v>7.383766664069033E-2</v>
      </c>
      <c r="W29" s="50"/>
      <c r="X29"/>
      <c r="Y29"/>
    </row>
    <row r="30" spans="1:25">
      <c r="A30" s="4" t="s">
        <v>87</v>
      </c>
      <c r="D30" s="15">
        <f>D5+D8+D13</f>
        <v>3617344.7</v>
      </c>
      <c r="E30" s="15"/>
      <c r="F30" s="1"/>
      <c r="G30" s="1"/>
      <c r="H30" s="1"/>
      <c r="I30" s="50"/>
      <c r="J30" s="50"/>
      <c r="K30" s="50"/>
      <c r="L30" s="50"/>
      <c r="M30" s="50"/>
      <c r="N30" s="50"/>
      <c r="O30" s="50"/>
      <c r="P30" s="50"/>
      <c r="Q30" s="50"/>
      <c r="R30" s="50"/>
      <c r="S30" s="50"/>
      <c r="T30" s="50"/>
      <c r="U30" s="50"/>
      <c r="V30" s="50"/>
      <c r="W30" s="50"/>
    </row>
    <row r="31" spans="1:25">
      <c r="A31" s="4" t="s">
        <v>85</v>
      </c>
      <c r="D31" s="15">
        <f>D9+SUM(D11:D11)-20000</f>
        <v>206014.85383766663</v>
      </c>
      <c r="E31" s="15"/>
      <c r="G31" s="1" t="s">
        <v>108</v>
      </c>
      <c r="H31" s="1"/>
      <c r="I31" s="17"/>
      <c r="J31" s="1"/>
      <c r="K31" s="1"/>
      <c r="L31" s="1"/>
      <c r="M31" s="1"/>
      <c r="N31" s="1"/>
      <c r="O31" s="1"/>
      <c r="P31" s="68">
        <v>1220000</v>
      </c>
      <c r="Q31" s="68">
        <v>745000</v>
      </c>
      <c r="R31" s="68">
        <v>2449858</v>
      </c>
      <c r="S31" s="68">
        <v>162631</v>
      </c>
      <c r="T31" s="68">
        <v>17080</v>
      </c>
      <c r="U31" s="68"/>
      <c r="V31" s="68"/>
      <c r="W31" s="68"/>
      <c r="X31" s="1"/>
      <c r="Y31" s="1"/>
    </row>
    <row r="32" spans="1:25">
      <c r="A32" s="4" t="s">
        <v>36</v>
      </c>
      <c r="D32" s="15">
        <f>I12</f>
        <v>20000</v>
      </c>
      <c r="E32" s="15"/>
      <c r="G32" s="1"/>
      <c r="H32" s="1"/>
      <c r="I32" s="50"/>
      <c r="J32" s="1"/>
      <c r="K32" s="17"/>
      <c r="L32" s="1"/>
      <c r="M32" s="1"/>
      <c r="N32" s="1"/>
      <c r="O32" s="1"/>
      <c r="P32" s="1"/>
      <c r="Q32" s="1"/>
      <c r="R32" s="1"/>
      <c r="S32" s="68"/>
      <c r="T32" s="68"/>
      <c r="U32" s="17"/>
      <c r="V32" s="1"/>
      <c r="W32" s="68"/>
    </row>
    <row r="33" spans="1:25">
      <c r="A33" s="1" t="s">
        <v>37</v>
      </c>
      <c r="B33" s="1"/>
      <c r="C33" s="1"/>
      <c r="D33" s="17">
        <f>SUM(D29:D32)</f>
        <v>4343359.5538376672</v>
      </c>
      <c r="E33" s="15">
        <v>4500000</v>
      </c>
      <c r="F33" s="9"/>
      <c r="G33" s="1"/>
      <c r="H33" s="1"/>
      <c r="I33" s="1"/>
      <c r="J33" s="1"/>
      <c r="K33" s="1"/>
      <c r="L33" s="1"/>
      <c r="M33" s="1"/>
      <c r="N33" s="1"/>
      <c r="O33" s="1"/>
      <c r="P33" s="1"/>
      <c r="Q33" s="1"/>
      <c r="R33" s="1"/>
      <c r="S33" s="1"/>
      <c r="T33" s="1"/>
      <c r="U33" s="1"/>
      <c r="V33" s="1"/>
      <c r="W33" s="17"/>
    </row>
    <row r="34" spans="1:25">
      <c r="A34" s="1" t="s">
        <v>38</v>
      </c>
      <c r="B34" s="1"/>
      <c r="C34" s="1"/>
      <c r="D34" s="17">
        <f>D33+D28</f>
        <v>5139359.5538376663</v>
      </c>
      <c r="E34" s="15"/>
      <c r="G34" s="4"/>
      <c r="H34" s="1"/>
      <c r="I34" s="1"/>
      <c r="J34" s="1"/>
      <c r="K34" s="1"/>
      <c r="L34" s="1"/>
      <c r="M34" s="1"/>
      <c r="N34" s="1"/>
      <c r="O34" s="1"/>
      <c r="P34" s="1"/>
      <c r="Q34" s="1"/>
      <c r="R34" s="1"/>
      <c r="S34" s="1"/>
      <c r="T34" s="1"/>
      <c r="U34" s="1"/>
      <c r="V34" s="1"/>
      <c r="W34" s="17"/>
    </row>
    <row r="35" spans="1:25">
      <c r="D35" s="15"/>
      <c r="E35" s="15"/>
      <c r="G35" s="1" t="s">
        <v>105</v>
      </c>
      <c r="H35" s="1"/>
      <c r="I35" s="1"/>
      <c r="J35" s="1"/>
      <c r="K35" s="1"/>
      <c r="L35" s="1"/>
      <c r="M35" s="1"/>
      <c r="N35" s="1"/>
      <c r="O35" s="1"/>
      <c r="P35" s="1"/>
      <c r="Q35" s="1"/>
      <c r="R35" s="1"/>
      <c r="S35" s="1"/>
      <c r="T35" s="1"/>
      <c r="U35" s="1"/>
      <c r="V35" s="1"/>
      <c r="W35" s="1"/>
    </row>
    <row r="36" spans="1:25">
      <c r="A36" t="s">
        <v>39</v>
      </c>
      <c r="C36" s="9"/>
      <c r="D36" s="40">
        <f>D33/D25</f>
        <v>0.84511688826954923</v>
      </c>
      <c r="E36" s="15"/>
      <c r="G36" s="4" t="s">
        <v>109</v>
      </c>
      <c r="H36" s="4"/>
      <c r="I36" s="4"/>
      <c r="J36" s="4"/>
      <c r="K36" s="4"/>
      <c r="L36" s="4"/>
      <c r="M36" s="4"/>
      <c r="N36" s="4"/>
      <c r="O36" s="4"/>
      <c r="P36" s="69">
        <v>0.5</v>
      </c>
      <c r="Q36" s="69">
        <v>0.3</v>
      </c>
      <c r="R36" s="69">
        <v>0.2</v>
      </c>
      <c r="S36" s="69"/>
      <c r="T36" s="69"/>
      <c r="U36" s="1"/>
      <c r="V36" s="69"/>
      <c r="W36" s="1"/>
    </row>
    <row r="37" spans="1:25">
      <c r="A37" t="s">
        <v>40</v>
      </c>
      <c r="D37" s="40">
        <f>D33/D20</f>
        <v>0.6453728906148094</v>
      </c>
      <c r="G37" s="4" t="s">
        <v>110</v>
      </c>
      <c r="H37" s="4"/>
      <c r="I37" s="4"/>
      <c r="J37" s="4"/>
      <c r="K37" s="4"/>
      <c r="L37" s="4"/>
      <c r="M37" s="4"/>
      <c r="N37" s="4"/>
      <c r="O37" s="4"/>
      <c r="P37" s="69"/>
      <c r="Q37" s="69"/>
      <c r="R37" s="69">
        <v>0.5</v>
      </c>
      <c r="S37" s="69">
        <v>0.3</v>
      </c>
      <c r="T37" s="69">
        <v>0.2</v>
      </c>
      <c r="U37" s="69"/>
      <c r="V37" s="69"/>
      <c r="W37" s="69"/>
    </row>
    <row r="38" spans="1:25">
      <c r="D38" s="33"/>
      <c r="G38" s="1"/>
      <c r="H38" s="1"/>
      <c r="I38" s="1"/>
      <c r="J38" s="1"/>
      <c r="K38" s="1"/>
      <c r="L38" s="1"/>
      <c r="M38" s="1"/>
      <c r="N38" s="1"/>
      <c r="O38" s="1"/>
      <c r="P38" s="1"/>
      <c r="Q38" s="1"/>
      <c r="R38" s="1"/>
      <c r="S38" s="1"/>
      <c r="T38" s="1"/>
      <c r="U38" s="1"/>
      <c r="V38" s="1"/>
      <c r="W38" s="1"/>
    </row>
    <row r="39" spans="1:25">
      <c r="C39" s="3"/>
      <c r="D39" s="33"/>
      <c r="G39" s="4" t="s">
        <v>121</v>
      </c>
      <c r="H39" s="4"/>
      <c r="I39" s="4"/>
      <c r="J39" s="4"/>
      <c r="K39" s="4"/>
      <c r="L39" s="4"/>
      <c r="M39" s="4"/>
      <c r="N39" s="4"/>
      <c r="O39" s="4"/>
      <c r="P39" s="69"/>
      <c r="Q39" s="69"/>
      <c r="R39" s="69"/>
      <c r="S39" s="69"/>
      <c r="T39" s="69"/>
      <c r="U39" s="1"/>
      <c r="V39" s="1"/>
      <c r="W39" s="1"/>
    </row>
    <row r="40" spans="1:25">
      <c r="A40" s="1"/>
      <c r="D40" s="33"/>
      <c r="G40" s="4" t="s">
        <v>122</v>
      </c>
      <c r="H40" s="4"/>
      <c r="I40" s="4"/>
      <c r="J40" s="4"/>
      <c r="K40" s="4"/>
      <c r="L40" s="4"/>
      <c r="M40" s="4"/>
      <c r="N40" s="4"/>
      <c r="O40" s="4"/>
      <c r="P40" s="69"/>
      <c r="Q40" s="69"/>
      <c r="R40" s="69"/>
      <c r="S40" s="69"/>
      <c r="T40" s="69"/>
      <c r="U40" s="17"/>
      <c r="V40" s="1"/>
      <c r="W40" s="1"/>
    </row>
    <row r="41" spans="1:25">
      <c r="A41" s="4"/>
      <c r="B41" s="2"/>
      <c r="C41" s="2"/>
      <c r="D41" s="23"/>
      <c r="G41" s="4"/>
      <c r="K41" s="9"/>
    </row>
    <row r="42" spans="1:25">
      <c r="A42" s="4"/>
      <c r="B42" s="2"/>
      <c r="C42" s="2"/>
      <c r="D42" s="23"/>
      <c r="E42" s="28"/>
      <c r="G42" s="4"/>
      <c r="I42" s="12"/>
      <c r="K42" s="9"/>
    </row>
    <row r="43" spans="1:25">
      <c r="A43" s="4"/>
      <c r="B43" s="2"/>
      <c r="C43" s="2"/>
      <c r="D43" s="23"/>
      <c r="E43" s="28"/>
      <c r="G43" s="4"/>
      <c r="K43" s="9"/>
      <c r="M43" s="4"/>
    </row>
    <row r="44" spans="1:25">
      <c r="A44" s="4"/>
      <c r="B44" s="71"/>
      <c r="C44" s="2"/>
      <c r="D44" s="20"/>
      <c r="E44" s="16"/>
      <c r="H44" s="15"/>
    </row>
    <row r="45" spans="1:25">
      <c r="B45" s="2"/>
      <c r="C45" s="2"/>
      <c r="D45" s="23"/>
      <c r="E45" s="12"/>
    </row>
    <row r="46" spans="1:25">
      <c r="A46" s="1"/>
      <c r="B46" s="72"/>
      <c r="C46" s="72"/>
      <c r="D46" s="42"/>
      <c r="F46" s="9"/>
      <c r="I46" s="23"/>
      <c r="J46" s="23"/>
      <c r="K46" s="23"/>
      <c r="L46" s="23"/>
      <c r="M46" s="23"/>
      <c r="N46" s="23"/>
      <c r="O46" s="23"/>
      <c r="P46" s="23"/>
      <c r="Q46" s="23"/>
      <c r="R46" s="23"/>
      <c r="S46" s="23"/>
      <c r="T46" s="23"/>
      <c r="U46" s="23"/>
      <c r="V46" s="23"/>
      <c r="W46" s="23"/>
    </row>
    <row r="47" spans="1:25" s="1" customFormat="1">
      <c r="A47" s="4"/>
      <c r="B47" s="2"/>
      <c r="C47" s="2"/>
      <c r="D47" s="23"/>
      <c r="E47"/>
      <c r="F47" s="9"/>
      <c r="G47"/>
      <c r="H47" s="52"/>
      <c r="I47" s="23"/>
      <c r="J47" s="23"/>
      <c r="K47" s="23"/>
      <c r="L47" s="23"/>
      <c r="M47" s="23"/>
      <c r="N47" s="23"/>
      <c r="O47" s="23"/>
      <c r="P47" s="23"/>
      <c r="Q47" s="23"/>
      <c r="R47" s="23"/>
      <c r="S47" s="23"/>
      <c r="T47" s="23"/>
      <c r="U47" s="23"/>
      <c r="V47" s="23"/>
      <c r="W47" s="23"/>
      <c r="X47"/>
      <c r="Y47" s="12"/>
    </row>
    <row r="48" spans="1:25">
      <c r="A48" s="4"/>
      <c r="B48" s="2"/>
      <c r="C48" s="2"/>
      <c r="D48" s="15"/>
      <c r="F48" s="10"/>
      <c r="H48" s="52"/>
      <c r="I48" s="12"/>
      <c r="J48" s="12"/>
      <c r="K48" s="12"/>
      <c r="L48" s="12"/>
      <c r="M48" s="12"/>
      <c r="N48" s="12"/>
      <c r="O48" s="12"/>
      <c r="P48" s="12"/>
      <c r="Q48" s="12"/>
      <c r="R48" s="12"/>
      <c r="S48" s="12"/>
      <c r="T48" s="12"/>
      <c r="U48" s="12"/>
      <c r="V48" s="12"/>
      <c r="W48" s="12"/>
    </row>
    <row r="49" spans="1:25">
      <c r="A49" s="1"/>
      <c r="B49" s="68"/>
      <c r="C49" s="74"/>
      <c r="D49" s="23"/>
      <c r="G49" s="1"/>
      <c r="H49" s="1"/>
      <c r="I49" s="20"/>
      <c r="J49" s="20"/>
      <c r="K49" s="20"/>
      <c r="L49" s="20"/>
      <c r="M49" s="20"/>
      <c r="N49" s="20"/>
      <c r="O49" s="20"/>
      <c r="P49" s="20"/>
      <c r="Q49" s="20"/>
      <c r="R49" s="20"/>
      <c r="S49" s="20"/>
      <c r="T49" s="20"/>
      <c r="U49" s="20"/>
      <c r="V49" s="20"/>
      <c r="W49" s="20"/>
      <c r="Y49" s="12"/>
    </row>
    <row r="50" spans="1:25">
      <c r="B50" s="2"/>
      <c r="C50" s="73"/>
      <c r="D50" s="23"/>
    </row>
    <row r="51" spans="1:25">
      <c r="A51" s="1"/>
      <c r="B51" s="68"/>
      <c r="C51" s="15"/>
      <c r="D51" s="20"/>
      <c r="E51" s="1"/>
    </row>
    <row r="52" spans="1:25">
      <c r="B52" s="2"/>
      <c r="C52" s="15"/>
      <c r="V52" s="53"/>
    </row>
    <row r="53" spans="1:25">
      <c r="A53" s="4"/>
      <c r="B53" s="71"/>
      <c r="C53" s="15"/>
      <c r="D53" s="17"/>
      <c r="E53" s="1"/>
      <c r="G53" s="18"/>
      <c r="H53" s="1"/>
      <c r="I53" s="1"/>
      <c r="J53" s="1"/>
      <c r="K53" s="16"/>
      <c r="L53" s="5"/>
      <c r="M53" s="1"/>
      <c r="N53" s="1"/>
      <c r="O53" s="1"/>
      <c r="P53" s="47"/>
      <c r="V53" s="54"/>
      <c r="W53" s="1"/>
    </row>
    <row r="54" spans="1:25" s="1" customFormat="1">
      <c r="A54"/>
      <c r="B54" s="2"/>
      <c r="C54" s="15"/>
      <c r="D54"/>
      <c r="E54"/>
      <c r="F54"/>
      <c r="G54" s="4"/>
      <c r="H54" s="4"/>
      <c r="I54" s="4"/>
      <c r="J54" s="4"/>
      <c r="K54" s="24"/>
      <c r="L54" s="55"/>
      <c r="M54" s="43"/>
      <c r="N54"/>
      <c r="O54"/>
      <c r="Q54"/>
      <c r="R54" s="12"/>
      <c r="S54"/>
      <c r="T54"/>
      <c r="V54" s="56"/>
      <c r="W54" s="53"/>
    </row>
    <row r="55" spans="1:25">
      <c r="A55" s="4"/>
      <c r="B55" s="2"/>
      <c r="C55" s="15"/>
      <c r="F55" s="1"/>
      <c r="G55" s="4"/>
      <c r="H55" s="4"/>
      <c r="I55" s="4"/>
      <c r="J55" s="4"/>
      <c r="K55" s="24"/>
      <c r="L55" s="39"/>
      <c r="M55" s="43"/>
      <c r="O55" s="1"/>
      <c r="P55" s="1"/>
      <c r="V55" s="51"/>
      <c r="W55" s="43"/>
    </row>
    <row r="56" spans="1:25" s="1" customFormat="1">
      <c r="B56" s="68"/>
      <c r="C56" s="17"/>
      <c r="D56" s="12"/>
      <c r="E56"/>
      <c r="F56"/>
      <c r="G56" s="4"/>
      <c r="H56" s="4"/>
      <c r="I56" s="4"/>
      <c r="J56" s="57"/>
      <c r="K56"/>
      <c r="L56" s="39"/>
      <c r="M56" s="24"/>
      <c r="N56" s="4"/>
      <c r="Q56"/>
      <c r="R56"/>
      <c r="S56"/>
      <c r="T56"/>
      <c r="U56"/>
      <c r="V56" s="51"/>
      <c r="W56" s="43"/>
      <c r="X56"/>
      <c r="Y56"/>
    </row>
    <row r="57" spans="1:25">
      <c r="A57" s="4"/>
      <c r="D57" s="12"/>
      <c r="E57" s="4"/>
      <c r="F57" s="1"/>
      <c r="G57" s="4"/>
      <c r="H57" s="4"/>
      <c r="I57" s="4"/>
      <c r="J57" s="4"/>
      <c r="K57" s="24"/>
      <c r="L57" s="39"/>
      <c r="M57" s="24"/>
      <c r="N57" s="58"/>
      <c r="W57" s="18"/>
    </row>
    <row r="58" spans="1:25">
      <c r="G58" s="4"/>
      <c r="H58" s="4"/>
      <c r="I58" s="4"/>
      <c r="J58" s="4"/>
      <c r="K58" s="24"/>
      <c r="L58" s="39"/>
      <c r="M58" s="24"/>
      <c r="W58" s="18"/>
    </row>
    <row r="59" spans="1:25">
      <c r="A59" s="1"/>
      <c r="B59" s="15"/>
      <c r="G59" s="1"/>
      <c r="H59" s="1"/>
      <c r="I59" s="1"/>
      <c r="J59" s="1"/>
      <c r="K59" s="20"/>
      <c r="L59" s="20"/>
      <c r="M59" s="20"/>
      <c r="P59" s="23"/>
      <c r="R59" s="4"/>
      <c r="U59" s="15"/>
      <c r="W59" s="18"/>
    </row>
    <row r="60" spans="1:25">
      <c r="B60" s="15"/>
      <c r="C60" s="15"/>
      <c r="D60" s="23"/>
      <c r="G60" s="1"/>
      <c r="H60" s="1"/>
      <c r="I60" s="1"/>
      <c r="J60" s="1"/>
      <c r="K60" s="19"/>
      <c r="L60" s="50"/>
      <c r="M60" s="43"/>
      <c r="P60" s="8"/>
      <c r="R60" s="4"/>
      <c r="U60" s="49"/>
      <c r="V60" s="53"/>
      <c r="X60" s="1"/>
      <c r="Y60" s="1"/>
    </row>
    <row r="61" spans="1:25">
      <c r="A61" s="4"/>
      <c r="B61" s="70"/>
      <c r="D61" s="23"/>
      <c r="G61" s="1"/>
      <c r="H61" s="1"/>
      <c r="I61" s="1"/>
      <c r="J61" s="1"/>
      <c r="L61" s="59"/>
      <c r="M61" s="60"/>
      <c r="P61" s="1"/>
      <c r="R61" s="4"/>
      <c r="U61" s="15"/>
      <c r="V61" s="53"/>
    </row>
    <row r="62" spans="1:25">
      <c r="A62" s="4"/>
      <c r="B62" s="70"/>
      <c r="D62" s="23"/>
      <c r="G62" s="1"/>
      <c r="H62" s="1"/>
      <c r="I62" s="1"/>
      <c r="J62" s="1"/>
      <c r="K62" s="20"/>
      <c r="L62" s="50"/>
      <c r="M62" s="61"/>
      <c r="P62" s="1"/>
      <c r="R62" s="23"/>
      <c r="V62" s="53"/>
      <c r="X62" s="1"/>
      <c r="Y62" s="1"/>
    </row>
    <row r="63" spans="1:25">
      <c r="B63" s="15"/>
      <c r="D63" s="23"/>
      <c r="G63" s="1"/>
      <c r="H63" s="1"/>
      <c r="I63" s="1"/>
      <c r="J63" s="1"/>
      <c r="K63" s="20"/>
      <c r="L63" s="62"/>
      <c r="M63" s="50"/>
      <c r="P63" s="1"/>
      <c r="R63" s="4"/>
      <c r="U63" s="15"/>
      <c r="V63" s="53"/>
    </row>
    <row r="64" spans="1:25">
      <c r="A64" s="4"/>
      <c r="B64" s="70"/>
      <c r="D64" s="23"/>
      <c r="G64" s="1"/>
      <c r="H64" s="1"/>
      <c r="I64" s="1"/>
      <c r="J64" s="1"/>
      <c r="K64" s="20"/>
      <c r="L64" s="62"/>
      <c r="M64" s="50"/>
      <c r="P64" s="1"/>
      <c r="R64" s="4"/>
      <c r="U64" s="15"/>
      <c r="V64" s="53"/>
    </row>
    <row r="65" spans="1:22">
      <c r="B65" s="15"/>
      <c r="D65" s="23"/>
      <c r="G65" s="1"/>
      <c r="H65" s="1"/>
      <c r="I65" s="1"/>
      <c r="J65" s="1"/>
      <c r="K65" s="20"/>
      <c r="L65" s="62"/>
      <c r="M65" s="50"/>
      <c r="P65" s="1"/>
      <c r="R65" s="4"/>
      <c r="U65" s="15"/>
      <c r="V65" s="53"/>
    </row>
    <row r="66" spans="1:22">
      <c r="A66" s="4"/>
      <c r="B66" s="15"/>
      <c r="D66" s="23"/>
      <c r="G66" s="1"/>
      <c r="H66" s="1"/>
      <c r="I66" s="1"/>
      <c r="J66" s="1"/>
      <c r="K66" s="20"/>
      <c r="L66" s="63"/>
      <c r="M66" s="50"/>
      <c r="P66" s="1"/>
      <c r="R66" s="4"/>
      <c r="U66" s="15"/>
      <c r="V66" s="53"/>
    </row>
    <row r="67" spans="1:22">
      <c r="A67" s="4"/>
      <c r="B67" s="3"/>
      <c r="D67" s="12"/>
      <c r="G67" s="1"/>
      <c r="H67" s="1"/>
      <c r="I67" s="1"/>
      <c r="J67" s="1"/>
      <c r="K67" s="20"/>
      <c r="L67" s="19"/>
      <c r="M67" s="50"/>
      <c r="P67" s="1"/>
      <c r="R67" s="4"/>
      <c r="U67" s="15"/>
      <c r="V67" s="53"/>
    </row>
    <row r="68" spans="1:22">
      <c r="G68" s="1"/>
      <c r="H68" s="1"/>
      <c r="I68" s="1"/>
      <c r="J68" s="1"/>
      <c r="K68" s="20"/>
      <c r="L68" s="50"/>
      <c r="M68" s="64"/>
      <c r="P68" s="1"/>
      <c r="V68" s="53"/>
    </row>
    <row r="69" spans="1:22">
      <c r="A69" s="4"/>
      <c r="D69" s="23"/>
      <c r="G69" s="1"/>
      <c r="H69" s="1"/>
      <c r="I69" s="1"/>
      <c r="J69" s="1"/>
      <c r="K69" s="64"/>
      <c r="L69" s="50"/>
      <c r="M69" s="61"/>
      <c r="N69" s="4"/>
      <c r="P69" s="1"/>
      <c r="V69" s="53"/>
    </row>
    <row r="70" spans="1:22">
      <c r="G70" s="1"/>
      <c r="H70" s="1"/>
      <c r="I70" s="1"/>
      <c r="J70" s="1"/>
      <c r="K70" s="20"/>
      <c r="L70" s="50"/>
      <c r="M70" s="61"/>
      <c r="P70" s="1"/>
      <c r="V70" s="53"/>
    </row>
    <row r="71" spans="1:22">
      <c r="G71" s="1"/>
      <c r="H71" s="1"/>
      <c r="I71" s="1"/>
      <c r="J71" s="1"/>
      <c r="K71" s="20"/>
      <c r="L71" s="50"/>
      <c r="M71" s="61"/>
      <c r="P71" s="1"/>
      <c r="V71" s="53"/>
    </row>
    <row r="72" spans="1:22">
      <c r="G72" s="1"/>
      <c r="H72" s="1"/>
      <c r="I72" s="1"/>
      <c r="J72" s="1"/>
      <c r="K72" s="20"/>
      <c r="L72" s="50"/>
      <c r="M72" s="61"/>
      <c r="P72" s="1"/>
      <c r="V72" s="53"/>
    </row>
    <row r="73" spans="1:22">
      <c r="G73" s="1"/>
      <c r="H73" s="1"/>
      <c r="I73" s="1"/>
      <c r="J73" s="1"/>
      <c r="K73" s="20"/>
      <c r="L73" s="50"/>
      <c r="M73" s="61"/>
      <c r="P73" s="1"/>
      <c r="V73" s="53"/>
    </row>
    <row r="74" spans="1:22">
      <c r="G74" s="1"/>
      <c r="H74" s="1"/>
      <c r="I74" s="1"/>
      <c r="K74" s="17"/>
      <c r="L74" s="19"/>
      <c r="M74" s="61"/>
      <c r="P74" s="1"/>
      <c r="V74" s="53"/>
    </row>
    <row r="75" spans="1:22">
      <c r="G75" s="1"/>
      <c r="H75" s="1"/>
      <c r="I75" s="1"/>
      <c r="K75" s="17"/>
      <c r="L75" s="19"/>
      <c r="M75" s="61"/>
      <c r="N75" s="4"/>
      <c r="P75" s="1"/>
      <c r="V75" s="53"/>
    </row>
    <row r="76" spans="1:22">
      <c r="G76" s="1"/>
      <c r="H76" s="1"/>
      <c r="I76" s="1"/>
      <c r="K76" s="17"/>
      <c r="L76" s="50"/>
      <c r="M76" s="61"/>
      <c r="P76" s="1"/>
      <c r="V76" s="53"/>
    </row>
  </sheetData>
  <pageMargins left="0.74803149606299213" right="0.74803149606299213" top="0.62992125984251968" bottom="0.55118110236220474" header="0.35433070866141736" footer="0.31496062992125984"/>
  <pageSetup paperSize="9" fitToHeight="0" orientation="landscape" horizontalDpi="4294967293" verticalDpi="300" r:id="rId1"/>
  <headerFooter alignWithMargins="0">
    <oddHeader>&amp;C&amp;18&amp;UAppraisal</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C4698-F3E5-4B7F-9E3A-D06BA3FAE0FB}">
  <sheetPr>
    <pageSetUpPr fitToPage="1"/>
  </sheetPr>
  <dimension ref="A2:R76"/>
  <sheetViews>
    <sheetView zoomScaleNormal="100" workbookViewId="0">
      <selection activeCell="N23" sqref="N23"/>
    </sheetView>
  </sheetViews>
  <sheetFormatPr defaultRowHeight="12.75"/>
  <cols>
    <col min="1" max="1" width="33.140625" customWidth="1"/>
    <col min="3" max="4" width="13.42578125" customWidth="1"/>
    <col min="5" max="5" width="14.5703125" customWidth="1"/>
    <col min="6" max="6" width="14.140625" customWidth="1"/>
    <col min="7" max="17" width="12.5703125" customWidth="1"/>
    <col min="18" max="18" width="4.5703125" customWidth="1"/>
  </cols>
  <sheetData>
    <row r="2" spans="1:17">
      <c r="A2" s="47" t="s">
        <v>88</v>
      </c>
      <c r="C2" s="48">
        <f>'P&amp;L'!I2</f>
        <v>43435</v>
      </c>
      <c r="D2" s="48">
        <f>'P&amp;L'!J2</f>
        <v>43466</v>
      </c>
      <c r="E2" s="48">
        <f>'P&amp;L'!K2</f>
        <v>43497</v>
      </c>
      <c r="F2" s="48">
        <f>'P&amp;L'!L2</f>
        <v>43525</v>
      </c>
      <c r="G2" s="48">
        <f>'P&amp;L'!M2</f>
        <v>43556</v>
      </c>
      <c r="H2" s="48">
        <f>'P&amp;L'!N2</f>
        <v>43586</v>
      </c>
      <c r="I2" s="48">
        <f>'P&amp;L'!O2</f>
        <v>43617</v>
      </c>
      <c r="J2" s="48">
        <f>'P&amp;L'!P2</f>
        <v>43647</v>
      </c>
      <c r="K2" s="48">
        <f>'P&amp;L'!Q2</f>
        <v>43678</v>
      </c>
      <c r="L2" s="48">
        <f>'P&amp;L'!R2</f>
        <v>43709</v>
      </c>
      <c r="M2" s="48">
        <f>'P&amp;L'!S2</f>
        <v>43739</v>
      </c>
      <c r="N2" s="48">
        <f>'P&amp;L'!T2</f>
        <v>43770</v>
      </c>
      <c r="O2" s="48">
        <f>'P&amp;L'!U2</f>
        <v>43800</v>
      </c>
      <c r="P2" s="48">
        <f>'P&amp;L'!V2</f>
        <v>43831</v>
      </c>
      <c r="Q2" s="48">
        <f>'P&amp;L'!W2</f>
        <v>43862</v>
      </c>
    </row>
    <row r="3" spans="1:17">
      <c r="A3" s="1" t="s">
        <v>89</v>
      </c>
      <c r="C3" s="43">
        <v>0.04</v>
      </c>
      <c r="D3" s="43">
        <v>0.06</v>
      </c>
      <c r="E3" s="43">
        <v>0.08</v>
      </c>
      <c r="F3" s="43">
        <v>0.1</v>
      </c>
      <c r="G3" s="43">
        <v>0.12</v>
      </c>
      <c r="H3" s="43">
        <v>0.12</v>
      </c>
      <c r="I3" s="43">
        <v>0.12</v>
      </c>
      <c r="J3" s="43">
        <v>0.12</v>
      </c>
      <c r="K3" s="43">
        <v>0.12</v>
      </c>
      <c r="L3" s="43">
        <v>0.08</v>
      </c>
      <c r="M3" s="43">
        <v>0.04</v>
      </c>
      <c r="N3" s="43">
        <v>0</v>
      </c>
      <c r="O3" s="43">
        <v>0</v>
      </c>
      <c r="P3" s="43">
        <v>0</v>
      </c>
      <c r="Q3" s="43">
        <v>0</v>
      </c>
    </row>
    <row r="4" spans="1:17">
      <c r="A4" s="1"/>
      <c r="C4" s="48"/>
      <c r="D4" s="43"/>
      <c r="E4" s="43"/>
      <c r="F4" s="43"/>
      <c r="G4" s="43"/>
      <c r="H4" s="43"/>
      <c r="I4" s="43"/>
      <c r="J4" s="43"/>
      <c r="K4" s="43"/>
      <c r="L4" s="43"/>
      <c r="M4" s="43"/>
      <c r="N4" s="43"/>
      <c r="O4" s="43"/>
      <c r="P4" s="43"/>
    </row>
    <row r="5" spans="1:17">
      <c r="A5" s="1" t="s">
        <v>90</v>
      </c>
      <c r="C5" s="48"/>
      <c r="D5" s="48"/>
      <c r="E5" s="48"/>
      <c r="F5" s="48"/>
      <c r="G5" s="48"/>
      <c r="H5" s="48"/>
      <c r="I5" s="48"/>
      <c r="J5" s="48"/>
      <c r="K5" s="48"/>
      <c r="L5" s="48"/>
      <c r="M5" s="48"/>
      <c r="N5" s="48"/>
      <c r="O5" s="48"/>
      <c r="P5" s="48"/>
      <c r="Q5" s="48"/>
    </row>
    <row r="6" spans="1:17">
      <c r="A6" s="4" t="s">
        <v>111</v>
      </c>
      <c r="C6" s="2">
        <f>'P&amp;L'!I6</f>
        <v>1320950.6499999999</v>
      </c>
      <c r="D6" s="2">
        <f>'P&amp;L'!J6</f>
        <v>0</v>
      </c>
      <c r="E6" s="2">
        <f>'P&amp;L'!K6</f>
        <v>0</v>
      </c>
      <c r="F6" s="2">
        <f>'P&amp;L'!L6</f>
        <v>0</v>
      </c>
      <c r="G6" s="2">
        <f>'P&amp;L'!M6</f>
        <v>0</v>
      </c>
      <c r="H6" s="2">
        <f>'P&amp;L'!N6</f>
        <v>0</v>
      </c>
      <c r="I6" s="2">
        <f>'P&amp;L'!O6</f>
        <v>0</v>
      </c>
      <c r="J6" s="2">
        <f>'P&amp;L'!P6</f>
        <v>0</v>
      </c>
      <c r="K6" s="2">
        <f>'P&amp;L'!Q6</f>
        <v>0</v>
      </c>
      <c r="L6" s="2">
        <f>'P&amp;L'!R6</f>
        <v>0</v>
      </c>
      <c r="M6" s="2">
        <f>'P&amp;L'!S6</f>
        <v>0</v>
      </c>
      <c r="N6" s="2">
        <f>'P&amp;L'!T6</f>
        <v>0</v>
      </c>
      <c r="O6" s="2">
        <f>'P&amp;L'!U6</f>
        <v>0</v>
      </c>
      <c r="P6" s="2">
        <f>'P&amp;L'!V6</f>
        <v>0</v>
      </c>
      <c r="Q6" s="2">
        <f>'P&amp;L'!W6</f>
        <v>0</v>
      </c>
    </row>
    <row r="7" spans="1:17">
      <c r="A7" s="4" t="s">
        <v>115</v>
      </c>
      <c r="B7" s="9"/>
      <c r="C7" s="2">
        <f>'P&amp;L'!I7</f>
        <v>102438.08000000002</v>
      </c>
      <c r="D7" s="2">
        <f>'P&amp;L'!J7</f>
        <v>25609.520000000004</v>
      </c>
      <c r="E7" s="2">
        <f>'P&amp;L'!K7</f>
        <v>12804.760000000002</v>
      </c>
      <c r="F7" s="2">
        <f>'P&amp;L'!L7</f>
        <v>5121.9040000000005</v>
      </c>
      <c r="G7" s="2">
        <f>'P&amp;L'!M7</f>
        <v>5121.9040000000005</v>
      </c>
      <c r="H7" s="2">
        <f>'P&amp;L'!N7</f>
        <v>5121.9040000000005</v>
      </c>
      <c r="I7" s="2">
        <f>'P&amp;L'!O7</f>
        <v>5121.9040000000005</v>
      </c>
      <c r="J7" s="2">
        <f>'P&amp;L'!P7</f>
        <v>5121.9040000000005</v>
      </c>
      <c r="K7" s="2">
        <f>'P&amp;L'!Q7</f>
        <v>5121.9040000000005</v>
      </c>
      <c r="L7" s="2">
        <f>'P&amp;L'!R7</f>
        <v>5121.9040000000005</v>
      </c>
      <c r="M7" s="2">
        <f>'P&amp;L'!S7</f>
        <v>2560.9520000000002</v>
      </c>
      <c r="N7" s="2">
        <f>'P&amp;L'!T7</f>
        <v>0</v>
      </c>
      <c r="O7" s="2">
        <f>'P&amp;L'!U7</f>
        <v>0</v>
      </c>
      <c r="P7" s="2">
        <f>'P&amp;L'!V7</f>
        <v>0</v>
      </c>
      <c r="Q7" s="2">
        <f>'P&amp;L'!W7</f>
        <v>0</v>
      </c>
    </row>
    <row r="8" spans="1:17">
      <c r="A8" s="4" t="s">
        <v>116</v>
      </c>
      <c r="B8" s="9"/>
      <c r="C8" s="2">
        <f>'P&amp;L'!I8</f>
        <v>91000</v>
      </c>
      <c r="D8" s="2">
        <f>'P&amp;L'!J8</f>
        <v>0</v>
      </c>
      <c r="E8" s="2">
        <f>'P&amp;L'!K8</f>
        <v>0</v>
      </c>
      <c r="F8" s="2">
        <f>'P&amp;L'!L8</f>
        <v>0</v>
      </c>
      <c r="G8" s="2">
        <f>'P&amp;L'!M8</f>
        <v>0</v>
      </c>
      <c r="H8" s="2">
        <f>'P&amp;L'!N8</f>
        <v>0</v>
      </c>
      <c r="I8" s="2">
        <f>'P&amp;L'!O8</f>
        <v>0</v>
      </c>
      <c r="J8" s="2">
        <f>'P&amp;L'!P8</f>
        <v>0</v>
      </c>
      <c r="K8" s="2">
        <f>'P&amp;L'!Q8</f>
        <v>0</v>
      </c>
      <c r="L8" s="2">
        <f>'P&amp;L'!R8</f>
        <v>0</v>
      </c>
      <c r="M8" s="2">
        <f>'P&amp;L'!S8</f>
        <v>0</v>
      </c>
      <c r="N8" s="2">
        <f>'P&amp;L'!T8</f>
        <v>0</v>
      </c>
      <c r="O8" s="2">
        <f>'P&amp;L'!U8</f>
        <v>0</v>
      </c>
      <c r="P8" s="2">
        <f>'P&amp;L'!V8</f>
        <v>0</v>
      </c>
      <c r="Q8" s="2">
        <f>'P&amp;L'!W8</f>
        <v>0</v>
      </c>
    </row>
    <row r="9" spans="1:17">
      <c r="A9" s="4" t="s">
        <v>91</v>
      </c>
      <c r="C9" s="2">
        <f>'P&amp;L'!I9</f>
        <v>134449.98000000001</v>
      </c>
      <c r="D9" s="2">
        <f>'P&amp;L'!J9</f>
        <v>201674.97</v>
      </c>
      <c r="E9" s="2">
        <f>'P&amp;L'!K9</f>
        <v>268899.96000000002</v>
      </c>
      <c r="F9" s="2">
        <f>'P&amp;L'!L9</f>
        <v>336124.95</v>
      </c>
      <c r="G9" s="2">
        <f>'P&amp;L'!M9</f>
        <v>403349.94</v>
      </c>
      <c r="H9" s="2">
        <f>'P&amp;L'!N9</f>
        <v>403349.94</v>
      </c>
      <c r="I9" s="2">
        <f>'P&amp;L'!O9</f>
        <v>403349.94</v>
      </c>
      <c r="J9" s="2">
        <f>'P&amp;L'!P9</f>
        <v>403349.94</v>
      </c>
      <c r="K9" s="2">
        <f>'P&amp;L'!Q9</f>
        <v>403349.94</v>
      </c>
      <c r="L9" s="2">
        <f>'P&amp;L'!R9</f>
        <v>268899.96000000002</v>
      </c>
      <c r="M9" s="2">
        <f>'P&amp;L'!S9</f>
        <v>134449.98000000001</v>
      </c>
      <c r="N9" s="2">
        <f>'P&amp;L'!T9</f>
        <v>0</v>
      </c>
      <c r="O9" s="2">
        <f>'P&amp;L'!U9</f>
        <v>0</v>
      </c>
      <c r="P9" s="2">
        <f>'P&amp;L'!V9</f>
        <v>0</v>
      </c>
      <c r="Q9" s="2">
        <f>'P&amp;L'!W9</f>
        <v>0</v>
      </c>
    </row>
    <row r="10" spans="1:17">
      <c r="A10" t="s">
        <v>92</v>
      </c>
      <c r="C10" s="2">
        <f>'P&amp;L'!I10</f>
        <v>67500</v>
      </c>
      <c r="D10" s="2">
        <f>'P&amp;L'!J10</f>
        <v>0</v>
      </c>
      <c r="E10" s="2">
        <f>'P&amp;L'!K10</f>
        <v>0</v>
      </c>
      <c r="F10" s="2">
        <f>'P&amp;L'!L10</f>
        <v>0</v>
      </c>
      <c r="G10" s="2">
        <f>'P&amp;L'!M10</f>
        <v>0</v>
      </c>
      <c r="H10" s="2">
        <f>'P&amp;L'!N10</f>
        <v>0</v>
      </c>
      <c r="I10" s="2">
        <f>'P&amp;L'!O10</f>
        <v>0</v>
      </c>
      <c r="J10" s="2">
        <f>'P&amp;L'!P10</f>
        <v>0</v>
      </c>
      <c r="K10" s="2">
        <f>'P&amp;L'!Q10</f>
        <v>0</v>
      </c>
      <c r="L10" s="2">
        <f>'P&amp;L'!R10</f>
        <v>0</v>
      </c>
      <c r="M10" s="2">
        <f>'P&amp;L'!S10</f>
        <v>0</v>
      </c>
      <c r="N10" s="2">
        <f>'P&amp;L'!T10</f>
        <v>0</v>
      </c>
      <c r="O10" s="2">
        <f>'P&amp;L'!U10</f>
        <v>0</v>
      </c>
      <c r="P10" s="2">
        <f>'P&amp;L'!V10</f>
        <v>0</v>
      </c>
      <c r="Q10" s="2">
        <f>'P&amp;L'!W10</f>
        <v>0</v>
      </c>
    </row>
    <row r="11" spans="1:17">
      <c r="A11" t="s">
        <v>93</v>
      </c>
      <c r="C11" s="2">
        <f>'P&amp;L'!I11</f>
        <v>0</v>
      </c>
      <c r="D11" s="2">
        <f>'P&amp;L'!J11</f>
        <v>0</v>
      </c>
      <c r="E11" s="2">
        <f>'P&amp;L'!K11</f>
        <v>0</v>
      </c>
      <c r="F11" s="2">
        <f>'P&amp;L'!L11</f>
        <v>0</v>
      </c>
      <c r="G11" s="2">
        <f>'P&amp;L'!M11</f>
        <v>0</v>
      </c>
      <c r="H11" s="2">
        <f>'P&amp;L'!N11</f>
        <v>0</v>
      </c>
      <c r="I11" s="2">
        <f>'P&amp;L'!O11</f>
        <v>0</v>
      </c>
      <c r="J11" s="2">
        <f>'P&amp;L'!P11</f>
        <v>0</v>
      </c>
      <c r="K11" s="2">
        <f>'P&amp;L'!Q11</f>
        <v>0</v>
      </c>
      <c r="L11" s="2">
        <f>'P&amp;L'!R11</f>
        <v>0</v>
      </c>
      <c r="M11" s="2">
        <f>'P&amp;L'!S11</f>
        <v>0</v>
      </c>
      <c r="N11" s="2">
        <f>'P&amp;L'!T11</f>
        <v>0</v>
      </c>
      <c r="O11" s="2">
        <f>'P&amp;L'!U11</f>
        <v>0</v>
      </c>
      <c r="P11" s="2">
        <f>'P&amp;L'!V11</f>
        <v>0</v>
      </c>
      <c r="Q11" s="2">
        <f>'P&amp;L'!W11</f>
        <v>0</v>
      </c>
    </row>
    <row r="12" spans="1:17">
      <c r="A12" t="s">
        <v>94</v>
      </c>
      <c r="C12" s="2">
        <f>'P&amp;L'!I12</f>
        <v>20000</v>
      </c>
      <c r="D12" s="2">
        <f>'P&amp;L'!J12</f>
        <v>0</v>
      </c>
      <c r="E12" s="2">
        <f>'P&amp;L'!K12</f>
        <v>0</v>
      </c>
      <c r="F12" s="2">
        <f>'P&amp;L'!L12</f>
        <v>0</v>
      </c>
      <c r="G12" s="2">
        <f>'P&amp;L'!M12</f>
        <v>0</v>
      </c>
      <c r="H12" s="2">
        <f>'P&amp;L'!N12</f>
        <v>0</v>
      </c>
      <c r="I12" s="2">
        <f>'P&amp;L'!O12</f>
        <v>0</v>
      </c>
      <c r="J12" s="2">
        <f>'P&amp;L'!P12</f>
        <v>6150</v>
      </c>
      <c r="K12" s="2">
        <f>'P&amp;L'!Q12</f>
        <v>3690</v>
      </c>
      <c r="L12" s="2">
        <f>'P&amp;L'!R12</f>
        <v>13135</v>
      </c>
      <c r="M12" s="2">
        <f>'P&amp;L'!S12</f>
        <v>6405</v>
      </c>
      <c r="N12" s="2">
        <f>'P&amp;L'!T12</f>
        <v>4270</v>
      </c>
      <c r="O12" s="2">
        <f>'P&amp;L'!U12</f>
        <v>0</v>
      </c>
      <c r="P12" s="2">
        <f>'P&amp;L'!V12</f>
        <v>0</v>
      </c>
      <c r="Q12" s="2">
        <f>'P&amp;L'!W12</f>
        <v>0</v>
      </c>
    </row>
    <row r="13" spans="1:17">
      <c r="A13" t="s">
        <v>114</v>
      </c>
      <c r="C13" s="2">
        <f>'P&amp;L'!I13</f>
        <v>0</v>
      </c>
      <c r="D13" s="2">
        <f>'P&amp;L'!J13</f>
        <v>0</v>
      </c>
      <c r="E13" s="2">
        <f>'P&amp;L'!K13</f>
        <v>0</v>
      </c>
      <c r="F13" s="2">
        <f>'P&amp;L'!L13</f>
        <v>0</v>
      </c>
      <c r="G13" s="2">
        <f>'P&amp;L'!M13</f>
        <v>0</v>
      </c>
      <c r="H13" s="2">
        <f>'P&amp;L'!N13</f>
        <v>0</v>
      </c>
      <c r="I13" s="2">
        <f>'P&amp;L'!O13</f>
        <v>0</v>
      </c>
      <c r="J13" s="2">
        <f>'P&amp;L'!P13</f>
        <v>18450</v>
      </c>
      <c r="K13" s="2">
        <f>'P&amp;L'!Q13</f>
        <v>11070</v>
      </c>
      <c r="L13" s="2">
        <f>'P&amp;L'!R13</f>
        <v>39405</v>
      </c>
      <c r="M13" s="2">
        <f>'P&amp;L'!S13</f>
        <v>19215</v>
      </c>
      <c r="N13" s="2">
        <f>'P&amp;L'!T13</f>
        <v>12810</v>
      </c>
      <c r="O13" s="2">
        <f>'P&amp;L'!U13</f>
        <v>0</v>
      </c>
      <c r="P13" s="2">
        <f>'P&amp;L'!V13</f>
        <v>0</v>
      </c>
      <c r="Q13" s="2">
        <f>'P&amp;L'!W13</f>
        <v>0</v>
      </c>
    </row>
    <row r="14" spans="1:17">
      <c r="C14" s="49"/>
      <c r="D14" s="49"/>
      <c r="E14" s="49"/>
      <c r="F14" s="49"/>
      <c r="G14" s="49"/>
      <c r="H14" s="49"/>
      <c r="I14" s="49"/>
      <c r="J14" s="49"/>
      <c r="K14" s="49"/>
      <c r="L14" s="49"/>
      <c r="M14" s="49"/>
      <c r="N14" s="49"/>
      <c r="O14" s="49"/>
      <c r="P14" s="49"/>
      <c r="Q14" s="49"/>
    </row>
    <row r="15" spans="1:17">
      <c r="A15" s="1" t="s">
        <v>95</v>
      </c>
      <c r="B15" s="1"/>
      <c r="C15" s="50">
        <f t="shared" ref="C15:Q15" si="0">SUM(C5:C13)</f>
        <v>1736338.71</v>
      </c>
      <c r="D15" s="50">
        <f t="shared" si="0"/>
        <v>227284.49</v>
      </c>
      <c r="E15" s="50">
        <f t="shared" si="0"/>
        <v>281704.72000000003</v>
      </c>
      <c r="F15" s="50">
        <f t="shared" si="0"/>
        <v>341246.85399999999</v>
      </c>
      <c r="G15" s="50">
        <f t="shared" si="0"/>
        <v>408471.84399999998</v>
      </c>
      <c r="H15" s="50">
        <f t="shared" si="0"/>
        <v>408471.84399999998</v>
      </c>
      <c r="I15" s="50">
        <f t="shared" si="0"/>
        <v>408471.84399999998</v>
      </c>
      <c r="J15" s="50">
        <f t="shared" si="0"/>
        <v>433071.84399999998</v>
      </c>
      <c r="K15" s="50">
        <f t="shared" si="0"/>
        <v>423231.84399999998</v>
      </c>
      <c r="L15" s="50">
        <f t="shared" si="0"/>
        <v>326561.864</v>
      </c>
      <c r="M15" s="50">
        <f t="shared" si="0"/>
        <v>162630.932</v>
      </c>
      <c r="N15" s="50">
        <f t="shared" si="0"/>
        <v>17080</v>
      </c>
      <c r="O15" s="50">
        <f t="shared" si="0"/>
        <v>0</v>
      </c>
      <c r="P15" s="50">
        <f t="shared" si="0"/>
        <v>0</v>
      </c>
      <c r="Q15" s="50">
        <f t="shared" si="0"/>
        <v>0</v>
      </c>
    </row>
    <row r="16" spans="1:17">
      <c r="C16" s="49"/>
      <c r="D16" s="49"/>
      <c r="E16" s="50"/>
      <c r="F16" s="50"/>
      <c r="G16" s="50"/>
      <c r="H16" s="50"/>
      <c r="I16" s="50"/>
      <c r="J16" s="50"/>
      <c r="K16" s="50"/>
      <c r="L16" s="50"/>
      <c r="M16" s="50"/>
      <c r="N16" s="50"/>
      <c r="O16" s="50"/>
      <c r="P16" s="50"/>
      <c r="Q16" s="50"/>
    </row>
    <row r="17" spans="1:18" s="1" customFormat="1">
      <c r="A17" s="1" t="s">
        <v>96</v>
      </c>
      <c r="B17"/>
      <c r="C17" s="49"/>
      <c r="D17" s="49"/>
      <c r="E17" s="50"/>
      <c r="F17" s="50"/>
      <c r="G17" s="50"/>
      <c r="H17" s="50"/>
      <c r="I17" s="50"/>
      <c r="J17" s="50"/>
      <c r="K17" s="50"/>
      <c r="L17" s="50"/>
      <c r="M17" s="50"/>
      <c r="N17" s="50"/>
      <c r="O17" s="50"/>
      <c r="P17" s="50"/>
      <c r="Q17" s="50"/>
      <c r="R17"/>
    </row>
    <row r="18" spans="1:18">
      <c r="A18" s="1"/>
      <c r="C18" s="49"/>
      <c r="D18" s="49"/>
      <c r="E18" s="50"/>
      <c r="F18" s="50"/>
      <c r="G18" s="50"/>
      <c r="H18" s="50"/>
      <c r="I18" s="50"/>
      <c r="J18" s="50"/>
      <c r="K18" s="50"/>
      <c r="L18" s="50"/>
      <c r="M18" s="50"/>
      <c r="N18" s="50"/>
      <c r="O18" s="50"/>
      <c r="P18" s="50"/>
      <c r="Q18" s="50"/>
      <c r="R18" s="1"/>
    </row>
    <row r="19" spans="1:18">
      <c r="A19" t="s">
        <v>106</v>
      </c>
      <c r="C19" s="2">
        <f>'P&amp;L'!I19</f>
        <v>1000000</v>
      </c>
      <c r="D19" s="2">
        <f>'P&amp;L'!J19</f>
        <v>0</v>
      </c>
      <c r="E19" s="2">
        <f>'P&amp;L'!K19</f>
        <v>0</v>
      </c>
      <c r="F19" s="2">
        <f>'P&amp;L'!L19</f>
        <v>0</v>
      </c>
      <c r="G19" s="2">
        <f>'P&amp;L'!M19</f>
        <v>0</v>
      </c>
      <c r="H19" s="2">
        <f>'P&amp;L'!N19</f>
        <v>0</v>
      </c>
      <c r="I19" s="2">
        <f>'P&amp;L'!O19</f>
        <v>0</v>
      </c>
      <c r="J19" s="2">
        <f>'P&amp;L'!P19</f>
        <v>0</v>
      </c>
      <c r="K19" s="2">
        <f>'P&amp;L'!Q19</f>
        <v>0</v>
      </c>
      <c r="L19" s="2">
        <f>'P&amp;L'!R19</f>
        <v>0</v>
      </c>
      <c r="M19" s="2">
        <f>'P&amp;L'!S19</f>
        <v>0</v>
      </c>
      <c r="N19" s="2">
        <f>'P&amp;L'!T19</f>
        <v>0</v>
      </c>
      <c r="O19" s="2">
        <f>'P&amp;L'!U19</f>
        <v>0</v>
      </c>
      <c r="P19" s="2">
        <f>'P&amp;L'!V19</f>
        <v>0</v>
      </c>
      <c r="Q19" s="2">
        <f>'P&amp;L'!W19</f>
        <v>0</v>
      </c>
    </row>
    <row r="20" spans="1:18">
      <c r="A20" t="s">
        <v>97</v>
      </c>
      <c r="C20" s="2">
        <f>'P&amp;L'!I20</f>
        <v>500000</v>
      </c>
      <c r="D20" s="2">
        <f>'P&amp;L'!J20</f>
        <v>0</v>
      </c>
      <c r="E20" s="2">
        <f>'P&amp;L'!K20</f>
        <v>0</v>
      </c>
      <c r="F20" s="2">
        <f>'P&amp;L'!L20</f>
        <v>0</v>
      </c>
      <c r="G20" s="2">
        <f>'P&amp;L'!M20</f>
        <v>0</v>
      </c>
      <c r="H20" s="2">
        <f>'P&amp;L'!N20</f>
        <v>0</v>
      </c>
      <c r="I20" s="2">
        <f>'P&amp;L'!O20</f>
        <v>0</v>
      </c>
      <c r="J20" s="2">
        <f>'P&amp;L'!P20</f>
        <v>0</v>
      </c>
      <c r="K20" s="2">
        <f>'P&amp;L'!Q20</f>
        <v>0</v>
      </c>
      <c r="L20" s="2">
        <f>'P&amp;L'!R20</f>
        <v>0</v>
      </c>
      <c r="M20" s="2">
        <f>'P&amp;L'!S20</f>
        <v>0</v>
      </c>
      <c r="N20" s="2">
        <f>'P&amp;L'!T20</f>
        <v>0</v>
      </c>
      <c r="O20" s="2">
        <f>'P&amp;L'!U20</f>
        <v>0</v>
      </c>
      <c r="P20" s="2">
        <f>'P&amp;L'!V20</f>
        <v>0</v>
      </c>
      <c r="Q20" s="2">
        <f>'P&amp;L'!W20</f>
        <v>0</v>
      </c>
    </row>
    <row r="21" spans="1:18">
      <c r="A21" t="s">
        <v>98</v>
      </c>
      <c r="C21" s="2">
        <f>'P&amp;L'!I21</f>
        <v>517826.14000000007</v>
      </c>
      <c r="D21" s="2">
        <f>'P&amp;L'!J21</f>
        <v>227284.49</v>
      </c>
      <c r="E21" s="2">
        <f>'P&amp;L'!K21</f>
        <v>281704.72000000003</v>
      </c>
      <c r="F21" s="2">
        <f>'P&amp;L'!L21</f>
        <v>341246.85399999999</v>
      </c>
      <c r="G21" s="2">
        <f>'P&amp;L'!M21</f>
        <v>408471.84399999998</v>
      </c>
      <c r="H21" s="2">
        <f>'P&amp;L'!N21</f>
        <v>408471.84399999998</v>
      </c>
      <c r="I21" s="2">
        <f>'P&amp;L'!O21</f>
        <v>408471.84399999998</v>
      </c>
      <c r="J21" s="2">
        <f>'P&amp;L'!P21</f>
        <v>433071.84399999998</v>
      </c>
      <c r="K21" s="2">
        <f>'P&amp;L'!Q21</f>
        <v>423231.84399999998</v>
      </c>
      <c r="L21" s="2">
        <f>'P&amp;L'!R21</f>
        <v>326561.864</v>
      </c>
      <c r="M21" s="2">
        <f>'P&amp;L'!S21</f>
        <v>162630.932</v>
      </c>
      <c r="N21" s="2">
        <f>'P&amp;L'!T21</f>
        <v>17080</v>
      </c>
      <c r="O21" s="2">
        <f>'P&amp;L'!U21</f>
        <v>0</v>
      </c>
      <c r="P21" s="2">
        <f>'P&amp;L'!V21</f>
        <v>0</v>
      </c>
      <c r="Q21" s="2">
        <f>'P&amp;L'!W21</f>
        <v>0</v>
      </c>
    </row>
    <row r="22" spans="1:18">
      <c r="A22" t="s">
        <v>99</v>
      </c>
      <c r="C22" s="2">
        <f>'P&amp;L'!I22</f>
        <v>0</v>
      </c>
      <c r="D22" s="2">
        <f>'P&amp;L'!J22</f>
        <v>0</v>
      </c>
      <c r="E22" s="2">
        <f>'P&amp;L'!K22</f>
        <v>0</v>
      </c>
      <c r="F22" s="2">
        <f>'P&amp;L'!L22</f>
        <v>0</v>
      </c>
      <c r="G22" s="2">
        <f>'P&amp;L'!M22</f>
        <v>0</v>
      </c>
      <c r="H22" s="2">
        <f>'P&amp;L'!N22</f>
        <v>0</v>
      </c>
      <c r="I22" s="2">
        <f>'P&amp;L'!O22</f>
        <v>0</v>
      </c>
      <c r="J22" s="2">
        <f>'P&amp;L'!P22</f>
        <v>0</v>
      </c>
      <c r="K22" s="2">
        <f>'P&amp;L'!Q22</f>
        <v>0</v>
      </c>
      <c r="L22" s="2">
        <f>'P&amp;L'!R22</f>
        <v>0</v>
      </c>
      <c r="M22" s="2">
        <f>'P&amp;L'!S22</f>
        <v>0</v>
      </c>
      <c r="N22" s="2">
        <f>'P&amp;L'!T22</f>
        <v>0</v>
      </c>
      <c r="O22" s="2">
        <f>'P&amp;L'!U22</f>
        <v>0</v>
      </c>
      <c r="P22" s="2">
        <f>'P&amp;L'!V22</f>
        <v>0</v>
      </c>
      <c r="Q22" s="2">
        <f>'P&amp;L'!W22</f>
        <v>0</v>
      </c>
    </row>
    <row r="23" spans="1:18" s="1" customFormat="1">
      <c r="A23" t="s">
        <v>100</v>
      </c>
      <c r="B23"/>
      <c r="C23" s="2">
        <f>'P&amp;L'!I23</f>
        <v>0</v>
      </c>
      <c r="D23" s="2">
        <f>'P&amp;L'!J23</f>
        <v>0</v>
      </c>
      <c r="E23" s="2">
        <f>'P&amp;L'!K23</f>
        <v>0</v>
      </c>
      <c r="F23" s="2">
        <f>'P&amp;L'!L23</f>
        <v>0</v>
      </c>
      <c r="G23" s="2">
        <f>'P&amp;L'!M23</f>
        <v>0</v>
      </c>
      <c r="H23" s="2">
        <f>'P&amp;L'!N23</f>
        <v>0</v>
      </c>
      <c r="I23" s="2">
        <f>'P&amp;L'!O23</f>
        <v>0</v>
      </c>
      <c r="J23" s="2">
        <f>'P&amp;L'!P23</f>
        <v>1230000</v>
      </c>
      <c r="K23" s="2">
        <f>'P&amp;L'!Q23</f>
        <v>738000</v>
      </c>
      <c r="L23" s="2">
        <f>'P&amp;L'!R23</f>
        <v>2627000</v>
      </c>
      <c r="M23" s="2">
        <f>'P&amp;L'!S23</f>
        <v>1281000</v>
      </c>
      <c r="N23" s="2">
        <f>'P&amp;L'!T23</f>
        <v>854000</v>
      </c>
      <c r="O23" s="2">
        <f>'P&amp;L'!U23</f>
        <v>0</v>
      </c>
      <c r="P23" s="2">
        <f>'P&amp;L'!V23</f>
        <v>0</v>
      </c>
      <c r="Q23" s="2">
        <f>'P&amp;L'!W23</f>
        <v>0</v>
      </c>
      <c r="R23"/>
    </row>
    <row r="24" spans="1:18">
      <c r="C24" s="49"/>
      <c r="D24" s="49"/>
      <c r="E24" s="49"/>
      <c r="F24" s="49"/>
      <c r="G24" s="49"/>
      <c r="H24" s="49"/>
      <c r="I24" s="49"/>
      <c r="J24" s="49"/>
      <c r="K24" s="49"/>
      <c r="L24" s="49"/>
      <c r="M24" s="49"/>
      <c r="N24" s="49"/>
      <c r="O24" s="49"/>
      <c r="P24" s="49"/>
      <c r="Q24" s="49"/>
      <c r="R24" s="1"/>
    </row>
    <row r="25" spans="1:18">
      <c r="A25" s="1" t="s">
        <v>101</v>
      </c>
      <c r="B25" s="1"/>
      <c r="C25" s="50">
        <f>SUM(C19:C23)</f>
        <v>2017826.1400000001</v>
      </c>
      <c r="D25" s="50">
        <f t="shared" ref="D25:Q25" si="1">SUM(D19:D23)</f>
        <v>227284.49</v>
      </c>
      <c r="E25" s="50">
        <f t="shared" si="1"/>
        <v>281704.72000000003</v>
      </c>
      <c r="F25" s="50">
        <f t="shared" si="1"/>
        <v>341246.85399999999</v>
      </c>
      <c r="G25" s="50">
        <f t="shared" si="1"/>
        <v>408471.84399999998</v>
      </c>
      <c r="H25" s="50">
        <f t="shared" si="1"/>
        <v>408471.84399999998</v>
      </c>
      <c r="I25" s="50">
        <f t="shared" si="1"/>
        <v>408471.84399999998</v>
      </c>
      <c r="J25" s="50">
        <f t="shared" si="1"/>
        <v>1663071.844</v>
      </c>
      <c r="K25" s="50">
        <f t="shared" si="1"/>
        <v>1161231.844</v>
      </c>
      <c r="L25" s="50">
        <f>SUM(L19:L23)</f>
        <v>2953561.8640000001</v>
      </c>
      <c r="M25" s="50">
        <f>SUM(M19:M23)</f>
        <v>1443630.932</v>
      </c>
      <c r="N25" s="50">
        <f>SUM(N19:N23)</f>
        <v>871080</v>
      </c>
      <c r="O25" s="50">
        <f t="shared" si="1"/>
        <v>0</v>
      </c>
      <c r="P25" s="50">
        <f t="shared" si="1"/>
        <v>0</v>
      </c>
      <c r="Q25" s="50">
        <f t="shared" si="1"/>
        <v>0</v>
      </c>
    </row>
    <row r="26" spans="1:18">
      <c r="C26" s="50"/>
      <c r="D26" s="50"/>
      <c r="E26" s="50"/>
      <c r="F26" s="50"/>
      <c r="G26" s="50"/>
      <c r="H26" s="50"/>
      <c r="I26" s="50"/>
      <c r="J26" s="50"/>
      <c r="K26" s="50"/>
      <c r="L26" s="50"/>
      <c r="M26" s="50"/>
      <c r="N26" s="50"/>
      <c r="O26" s="50"/>
      <c r="P26" s="50"/>
      <c r="Q26" s="50"/>
    </row>
    <row r="27" spans="1:18">
      <c r="A27" s="1" t="s">
        <v>102</v>
      </c>
      <c r="B27" s="1"/>
      <c r="C27" s="50">
        <f t="shared" ref="C27:I27" si="2">C25-C15+B27-C31</f>
        <v>281487.43000000017</v>
      </c>
      <c r="D27" s="50">
        <f t="shared" si="2"/>
        <v>281487.43000000017</v>
      </c>
      <c r="E27" s="50">
        <f t="shared" si="2"/>
        <v>281487.43000000017</v>
      </c>
      <c r="F27" s="50">
        <f t="shared" si="2"/>
        <v>281487.43000000017</v>
      </c>
      <c r="G27" s="50">
        <f t="shared" si="2"/>
        <v>281487.43000000017</v>
      </c>
      <c r="H27" s="50">
        <f t="shared" si="2"/>
        <v>281487.43000000017</v>
      </c>
      <c r="I27" s="50">
        <f t="shared" si="2"/>
        <v>281487.43000000017</v>
      </c>
      <c r="J27" s="50">
        <f>J25-J15+I27-J31</f>
        <v>291487.43000000017</v>
      </c>
      <c r="K27" s="50">
        <f>K25-K15+J27-K31</f>
        <v>284487.43000000017</v>
      </c>
      <c r="L27" s="50">
        <f>L25-L15+K27-L31</f>
        <v>461629.43000000017</v>
      </c>
      <c r="M27" s="50">
        <f>M25-M15+L27-M31-M32</f>
        <v>1579998.4300000002</v>
      </c>
      <c r="N27" s="50">
        <f>N25-N15+M27-N31-N32</f>
        <v>2416918.4300000002</v>
      </c>
      <c r="O27" s="50">
        <f>O25-O15+N27-O31-O32</f>
        <v>2416918.4300000002</v>
      </c>
      <c r="P27" s="50">
        <f>P25-P15+O27-P31-P32</f>
        <v>2416918.4300000002</v>
      </c>
      <c r="Q27" s="50">
        <f>Q25-Q15+P27-Q31-Q32</f>
        <v>2416918.4300000002</v>
      </c>
    </row>
    <row r="28" spans="1:18">
      <c r="A28" t="s">
        <v>103</v>
      </c>
      <c r="B28" s="75">
        <f>'P&amp;L'!H28</f>
        <v>0.09</v>
      </c>
      <c r="C28" s="2">
        <f>'P&amp;L'!I28</f>
        <v>-7633.6960500000014</v>
      </c>
      <c r="D28" s="2">
        <f>'P&amp;L'!J28</f>
        <v>-9395.582445375001</v>
      </c>
      <c r="E28" s="2">
        <f>'P&amp;L'!K28</f>
        <v>-11578.834713715312</v>
      </c>
      <c r="F28" s="2">
        <f>'P&amp;L'!L28</f>
        <v>-14225.02737906818</v>
      </c>
      <c r="G28" s="2">
        <f>'P&amp;L'!M28</f>
        <v>-17395.253914411191</v>
      </c>
      <c r="H28" s="2">
        <f>'P&amp;L'!N28</f>
        <v>-20589.257148769273</v>
      </c>
      <c r="I28" s="2">
        <f>'P&amp;L'!O28</f>
        <v>-23807.215407385043</v>
      </c>
      <c r="J28" s="2">
        <f>'P&amp;L'!P28</f>
        <v>-18083.808352940432</v>
      </c>
      <c r="K28" s="2">
        <f>'P&amp;L'!Q28</f>
        <v>-15806.175745587483</v>
      </c>
      <c r="L28" s="2">
        <f>'P&amp;L'!R28</f>
        <v>-1.0436793894041329E-3</v>
      </c>
      <c r="M28" s="2">
        <f>'P&amp;L'!S28</f>
        <v>-5.4150698488228952E-4</v>
      </c>
      <c r="N28" s="2">
        <f>'P&amp;L'!T28</f>
        <v>-5.4556828727982066E-4</v>
      </c>
      <c r="O28" s="2">
        <f>'P&amp;L'!U28</f>
        <v>-5.4966004943441933E-4</v>
      </c>
      <c r="P28" s="2">
        <f>'P&amp;L'!V28</f>
        <v>0</v>
      </c>
      <c r="Q28" s="2">
        <f>'P&amp;L'!W28</f>
        <v>0</v>
      </c>
    </row>
    <row r="29" spans="1:18" s="1" customFormat="1">
      <c r="A29" s="1" t="s">
        <v>104</v>
      </c>
      <c r="C29" s="50">
        <f>C20+C21</f>
        <v>1017826.1400000001</v>
      </c>
      <c r="D29" s="50">
        <f t="shared" ref="D29:P29" si="3">D20+C29-C28+D21-D31</f>
        <v>1252744.3260500003</v>
      </c>
      <c r="E29" s="50">
        <f t="shared" si="3"/>
        <v>1543844.6284953752</v>
      </c>
      <c r="F29" s="50">
        <f t="shared" si="3"/>
        <v>1896670.3172090906</v>
      </c>
      <c r="G29" s="50">
        <f t="shared" si="3"/>
        <v>2319367.1885881587</v>
      </c>
      <c r="H29" s="50">
        <f t="shared" si="3"/>
        <v>2745234.2865025699</v>
      </c>
      <c r="I29" s="50">
        <f t="shared" si="3"/>
        <v>3174295.3876513392</v>
      </c>
      <c r="J29" s="50">
        <f t="shared" si="3"/>
        <v>2411174.4470587242</v>
      </c>
      <c r="K29" s="50">
        <f t="shared" si="3"/>
        <v>2107490.0994116645</v>
      </c>
      <c r="L29" s="50">
        <f t="shared" si="3"/>
        <v>0.13915725192055106</v>
      </c>
      <c r="M29" s="50">
        <f>M20+L29-L28+M21-M31</f>
        <v>7.2200931317638606E-2</v>
      </c>
      <c r="N29" s="50">
        <f t="shared" si="3"/>
        <v>7.2742438303976087E-2</v>
      </c>
      <c r="O29" s="50">
        <f t="shared" si="3"/>
        <v>7.3288006591255908E-2</v>
      </c>
      <c r="P29" s="50">
        <f t="shared" si="3"/>
        <v>7.383766664069033E-2</v>
      </c>
      <c r="Q29" s="50"/>
      <c r="R29"/>
    </row>
    <row r="30" spans="1:18">
      <c r="A30" s="1"/>
      <c r="B30" s="1"/>
      <c r="C30" s="50"/>
      <c r="D30" s="50"/>
      <c r="E30" s="50"/>
      <c r="F30" s="50"/>
      <c r="G30" s="50"/>
      <c r="H30" s="50"/>
      <c r="I30" s="50"/>
      <c r="J30" s="50"/>
      <c r="K30" s="50"/>
      <c r="L30" s="50"/>
      <c r="M30" s="50"/>
      <c r="N30" s="50"/>
      <c r="O30" s="50"/>
      <c r="P30" s="50"/>
      <c r="Q30" s="50"/>
    </row>
    <row r="31" spans="1:18">
      <c r="A31" s="1" t="s">
        <v>108</v>
      </c>
      <c r="B31" s="1"/>
      <c r="C31" s="17"/>
      <c r="D31" s="1"/>
      <c r="E31" s="1"/>
      <c r="F31" s="1"/>
      <c r="G31" s="1"/>
      <c r="H31" s="1"/>
      <c r="I31" s="1"/>
      <c r="J31" s="68">
        <f>'P&amp;L'!P31</f>
        <v>1220000</v>
      </c>
      <c r="K31" s="68">
        <f>'P&amp;L'!Q31</f>
        <v>745000</v>
      </c>
      <c r="L31" s="68">
        <f>'P&amp;L'!R31</f>
        <v>2449858</v>
      </c>
      <c r="M31" s="68">
        <f>'P&amp;L'!S31</f>
        <v>162631</v>
      </c>
      <c r="N31" s="68">
        <f>'P&amp;L'!T31</f>
        <v>17080</v>
      </c>
      <c r="O31" s="68">
        <f>'P&amp;L'!U31</f>
        <v>0</v>
      </c>
      <c r="P31" s="68">
        <f>'P&amp;L'!V31</f>
        <v>0</v>
      </c>
      <c r="Q31" s="68"/>
      <c r="R31" s="1"/>
    </row>
    <row r="32" spans="1:18">
      <c r="A32" s="1"/>
      <c r="B32" s="1"/>
      <c r="C32" s="50"/>
      <c r="D32" s="1"/>
      <c r="E32" s="17"/>
      <c r="F32" s="1"/>
      <c r="G32" s="1"/>
      <c r="H32" s="1"/>
      <c r="I32" s="1"/>
      <c r="J32" s="1"/>
      <c r="K32" s="1"/>
      <c r="L32" s="1"/>
      <c r="M32" s="68"/>
      <c r="N32" s="68"/>
      <c r="O32" s="17"/>
      <c r="P32" s="1"/>
      <c r="Q32" s="68"/>
    </row>
    <row r="33" spans="1:18">
      <c r="A33" s="1"/>
      <c r="B33" s="1"/>
      <c r="C33" s="1"/>
      <c r="D33" s="1"/>
      <c r="E33" s="1"/>
      <c r="F33" s="1"/>
      <c r="G33" s="1"/>
      <c r="H33" s="1"/>
      <c r="I33" s="1"/>
      <c r="J33" s="1"/>
      <c r="K33" s="1"/>
      <c r="L33" s="1"/>
      <c r="M33" s="1"/>
      <c r="N33" s="1"/>
      <c r="O33" s="1"/>
      <c r="P33" s="1"/>
      <c r="Q33" s="17"/>
    </row>
    <row r="34" spans="1:18">
      <c r="A34" s="4"/>
      <c r="B34" s="1"/>
      <c r="C34" s="1"/>
      <c r="D34" s="1"/>
      <c r="E34" s="1"/>
      <c r="F34" s="1"/>
      <c r="G34" s="1"/>
      <c r="H34" s="1"/>
      <c r="I34" s="1"/>
      <c r="J34" s="1"/>
      <c r="K34" s="1"/>
      <c r="L34" s="1"/>
      <c r="M34" s="1"/>
      <c r="N34" s="1"/>
      <c r="O34" s="1"/>
      <c r="P34" s="1"/>
      <c r="Q34" s="17"/>
    </row>
    <row r="35" spans="1:18">
      <c r="A35" s="1" t="s">
        <v>105</v>
      </c>
      <c r="B35" s="1"/>
      <c r="C35" s="1"/>
      <c r="D35" s="1"/>
      <c r="E35" s="1"/>
      <c r="F35" s="1"/>
      <c r="G35" s="1"/>
      <c r="H35" s="1"/>
      <c r="I35" s="1"/>
      <c r="J35" s="1"/>
      <c r="K35" s="1"/>
      <c r="L35" s="1"/>
      <c r="M35" s="1"/>
      <c r="N35" s="1"/>
      <c r="O35" s="1"/>
      <c r="P35" s="1"/>
      <c r="Q35" s="1"/>
    </row>
    <row r="36" spans="1:18">
      <c r="A36" s="4" t="s">
        <v>109</v>
      </c>
      <c r="B36" s="4"/>
      <c r="C36" s="4"/>
      <c r="D36" s="4"/>
      <c r="E36" s="4"/>
      <c r="F36" s="4"/>
      <c r="G36" s="4"/>
      <c r="H36" s="4"/>
      <c r="I36" s="4"/>
      <c r="J36" s="69">
        <v>0.5</v>
      </c>
      <c r="K36" s="69">
        <v>0.3</v>
      </c>
      <c r="L36" s="69">
        <v>0.2</v>
      </c>
      <c r="M36" s="69"/>
      <c r="N36" s="69"/>
      <c r="O36" s="1"/>
      <c r="P36" s="69"/>
      <c r="Q36" s="1"/>
    </row>
    <row r="37" spans="1:18">
      <c r="A37" s="4" t="s">
        <v>110</v>
      </c>
      <c r="B37" s="4"/>
      <c r="C37" s="4"/>
      <c r="D37" s="4"/>
      <c r="E37" s="4"/>
      <c r="F37" s="4"/>
      <c r="G37" s="4"/>
      <c r="H37" s="4"/>
      <c r="I37" s="4"/>
      <c r="J37" s="69"/>
      <c r="K37" s="69"/>
      <c r="L37" s="69">
        <v>0.5</v>
      </c>
      <c r="M37" s="69">
        <v>0.3</v>
      </c>
      <c r="N37" s="69">
        <v>0.2</v>
      </c>
      <c r="O37" s="69"/>
      <c r="P37" s="69"/>
      <c r="Q37" s="69"/>
    </row>
    <row r="38" spans="1:18">
      <c r="A38" s="1"/>
      <c r="B38" s="1"/>
      <c r="C38" s="1"/>
      <c r="D38" s="1"/>
      <c r="E38" s="1"/>
      <c r="F38" s="1"/>
      <c r="G38" s="1"/>
      <c r="H38" s="1"/>
      <c r="I38" s="1"/>
      <c r="J38" s="1"/>
      <c r="K38" s="1"/>
      <c r="L38" s="1"/>
      <c r="M38" s="1"/>
      <c r="N38" s="1"/>
      <c r="O38" s="1"/>
      <c r="P38" s="1"/>
      <c r="Q38" s="1"/>
    </row>
    <row r="39" spans="1:18">
      <c r="A39" s="1"/>
      <c r="B39" s="1"/>
      <c r="C39" s="1"/>
      <c r="D39" s="1"/>
      <c r="E39" s="1"/>
      <c r="F39" s="1"/>
      <c r="G39" s="1"/>
      <c r="H39" s="1"/>
      <c r="I39" s="1"/>
      <c r="J39" s="1"/>
      <c r="K39" s="1"/>
      <c r="L39" s="1"/>
      <c r="M39" s="1"/>
      <c r="N39" s="1"/>
      <c r="O39" s="1"/>
      <c r="P39" s="1"/>
      <c r="Q39" s="1"/>
    </row>
    <row r="40" spans="1:18">
      <c r="A40" s="4"/>
      <c r="B40" s="1"/>
      <c r="C40" s="1"/>
      <c r="D40" s="1"/>
      <c r="E40" s="1"/>
      <c r="F40" s="1"/>
      <c r="G40" s="1"/>
      <c r="H40" s="1"/>
      <c r="I40" s="1"/>
      <c r="J40" s="1"/>
      <c r="K40" s="1"/>
      <c r="L40" s="1"/>
      <c r="M40" s="1"/>
      <c r="N40" s="1"/>
      <c r="O40" s="17"/>
      <c r="P40" s="1"/>
      <c r="Q40" s="1"/>
    </row>
    <row r="41" spans="1:18">
      <c r="A41" s="4"/>
      <c r="E41" s="9"/>
    </row>
    <row r="42" spans="1:18">
      <c r="A42" s="4"/>
      <c r="C42" s="12"/>
      <c r="E42" s="9"/>
    </row>
    <row r="43" spans="1:18">
      <c r="A43" s="4"/>
      <c r="E43" s="9"/>
      <c r="G43" s="4"/>
    </row>
    <row r="44" spans="1:18">
      <c r="B44" s="15"/>
    </row>
    <row r="46" spans="1:18">
      <c r="C46" s="2"/>
      <c r="D46" s="2"/>
      <c r="E46" s="2"/>
      <c r="F46" s="2"/>
      <c r="G46" s="2"/>
      <c r="H46" s="2"/>
      <c r="I46" s="2"/>
      <c r="J46" s="2"/>
      <c r="K46" s="2"/>
      <c r="L46" s="2"/>
      <c r="M46" s="2"/>
      <c r="N46" s="2"/>
      <c r="O46" s="23"/>
      <c r="P46" s="23"/>
      <c r="Q46" s="23"/>
    </row>
    <row r="47" spans="1:18" s="1" customFormat="1">
      <c r="A47"/>
      <c r="B47" s="52"/>
      <c r="C47" s="2"/>
      <c r="D47" s="2"/>
      <c r="E47" s="2"/>
      <c r="F47" s="2"/>
      <c r="G47" s="2"/>
      <c r="H47" s="2"/>
      <c r="I47" s="2"/>
      <c r="J47" s="2"/>
      <c r="K47" s="2"/>
      <c r="L47" s="2"/>
      <c r="M47" s="2"/>
      <c r="N47" s="2"/>
      <c r="O47" s="23"/>
      <c r="P47" s="23"/>
      <c r="Q47" s="23"/>
      <c r="R47"/>
    </row>
    <row r="48" spans="1:18">
      <c r="B48" s="52"/>
      <c r="C48" s="12"/>
      <c r="D48" s="12"/>
      <c r="E48" s="12"/>
      <c r="F48" s="12"/>
      <c r="G48" s="12"/>
      <c r="H48" s="12"/>
      <c r="I48" s="12"/>
      <c r="J48" s="12"/>
      <c r="K48" s="12"/>
      <c r="L48" s="12"/>
      <c r="M48" s="12"/>
      <c r="N48" s="12"/>
      <c r="O48" s="12"/>
      <c r="P48" s="12"/>
      <c r="Q48" s="12"/>
    </row>
    <row r="49" spans="1:18">
      <c r="A49" s="1"/>
      <c r="B49" s="1"/>
      <c r="C49" s="20"/>
      <c r="D49" s="20"/>
      <c r="E49" s="20"/>
      <c r="F49" s="20"/>
      <c r="G49" s="20"/>
      <c r="H49" s="20"/>
      <c r="I49" s="20"/>
      <c r="J49" s="20"/>
      <c r="K49" s="20"/>
      <c r="L49" s="20"/>
      <c r="M49" s="20"/>
      <c r="N49" s="20"/>
      <c r="O49" s="20"/>
      <c r="P49" s="20"/>
      <c r="Q49" s="20"/>
    </row>
    <row r="52" spans="1:18">
      <c r="P52" s="53"/>
    </row>
    <row r="53" spans="1:18">
      <c r="A53" s="18"/>
      <c r="B53" s="1"/>
      <c r="C53" s="1"/>
      <c r="D53" s="1"/>
      <c r="E53" s="16"/>
      <c r="F53" s="5"/>
      <c r="G53" s="1"/>
      <c r="H53" s="1"/>
      <c r="I53" s="1"/>
      <c r="J53" s="47"/>
      <c r="P53" s="54"/>
      <c r="Q53" s="1"/>
    </row>
    <row r="54" spans="1:18" s="1" customFormat="1">
      <c r="A54" s="4"/>
      <c r="B54" s="4"/>
      <c r="C54" s="4"/>
      <c r="D54" s="4"/>
      <c r="E54" s="24"/>
      <c r="F54" s="55"/>
      <c r="G54" s="43"/>
      <c r="H54"/>
      <c r="I54"/>
      <c r="K54"/>
      <c r="L54" s="12"/>
      <c r="M54"/>
      <c r="N54"/>
      <c r="P54" s="56"/>
      <c r="Q54" s="53"/>
    </row>
    <row r="55" spans="1:18">
      <c r="A55" s="4"/>
      <c r="B55" s="4"/>
      <c r="C55" s="4"/>
      <c r="D55" s="4"/>
      <c r="E55" s="24"/>
      <c r="F55" s="39"/>
      <c r="G55" s="43"/>
      <c r="I55" s="1"/>
      <c r="J55" s="1"/>
      <c r="P55" s="51"/>
      <c r="Q55" s="43"/>
    </row>
    <row r="56" spans="1:18" s="1" customFormat="1">
      <c r="A56" s="4"/>
      <c r="B56" s="4"/>
      <c r="C56" s="4"/>
      <c r="D56" s="57"/>
      <c r="E56"/>
      <c r="F56" s="39"/>
      <c r="G56" s="24"/>
      <c r="H56" s="4"/>
      <c r="K56"/>
      <c r="L56"/>
      <c r="M56"/>
      <c r="N56"/>
      <c r="O56"/>
      <c r="P56" s="51"/>
      <c r="Q56" s="43"/>
      <c r="R56"/>
    </row>
    <row r="57" spans="1:18">
      <c r="A57" s="4"/>
      <c r="B57" s="4"/>
      <c r="C57" s="4"/>
      <c r="D57" s="4"/>
      <c r="E57" s="24"/>
      <c r="F57" s="39"/>
      <c r="G57" s="24"/>
      <c r="H57" s="58"/>
      <c r="Q57" s="18"/>
    </row>
    <row r="58" spans="1:18">
      <c r="A58" s="4"/>
      <c r="B58" s="4"/>
      <c r="C58" s="4"/>
      <c r="D58" s="4"/>
      <c r="E58" s="24"/>
      <c r="F58" s="39"/>
      <c r="G58" s="24"/>
      <c r="Q58" s="18"/>
    </row>
    <row r="59" spans="1:18">
      <c r="A59" s="1"/>
      <c r="B59" s="1"/>
      <c r="C59" s="1"/>
      <c r="D59" s="1"/>
      <c r="E59" s="20"/>
      <c r="F59" s="20"/>
      <c r="G59" s="20"/>
      <c r="J59" s="23"/>
      <c r="L59" s="4"/>
      <c r="O59" s="15"/>
      <c r="Q59" s="18"/>
    </row>
    <row r="60" spans="1:18">
      <c r="A60" s="1"/>
      <c r="B60" s="1"/>
      <c r="C60" s="1"/>
      <c r="D60" s="1"/>
      <c r="E60" s="19"/>
      <c r="F60" s="50"/>
      <c r="G60" s="43"/>
      <c r="J60" s="8"/>
      <c r="L60" s="4"/>
      <c r="O60" s="49"/>
      <c r="P60" s="53"/>
      <c r="R60" s="1"/>
    </row>
    <row r="61" spans="1:18">
      <c r="A61" s="1"/>
      <c r="B61" s="1"/>
      <c r="C61" s="1"/>
      <c r="D61" s="1"/>
      <c r="F61" s="59"/>
      <c r="G61" s="60"/>
      <c r="J61" s="1"/>
      <c r="L61" s="4"/>
      <c r="O61" s="15"/>
      <c r="P61" s="53"/>
    </row>
    <row r="62" spans="1:18">
      <c r="A62" s="1"/>
      <c r="B62" s="1"/>
      <c r="C62" s="1"/>
      <c r="D62" s="1"/>
      <c r="E62" s="20"/>
      <c r="F62" s="50"/>
      <c r="G62" s="61"/>
      <c r="J62" s="1"/>
      <c r="L62" s="23"/>
      <c r="P62" s="53"/>
      <c r="R62" s="1"/>
    </row>
    <row r="63" spans="1:18">
      <c r="A63" s="1"/>
      <c r="B63" s="1"/>
      <c r="C63" s="1"/>
      <c r="D63" s="1"/>
      <c r="E63" s="20"/>
      <c r="F63" s="62"/>
      <c r="G63" s="50"/>
      <c r="J63" s="1"/>
      <c r="L63" s="4"/>
      <c r="O63" s="15"/>
      <c r="P63" s="53"/>
    </row>
    <row r="64" spans="1:18">
      <c r="A64" s="1"/>
      <c r="B64" s="1"/>
      <c r="C64" s="1"/>
      <c r="D64" s="1"/>
      <c r="E64" s="20"/>
      <c r="F64" s="62"/>
      <c r="G64" s="50"/>
      <c r="J64" s="1"/>
      <c r="L64" s="4"/>
      <c r="O64" s="15"/>
      <c r="P64" s="53"/>
    </row>
    <row r="65" spans="1:16">
      <c r="A65" s="1"/>
      <c r="B65" s="1"/>
      <c r="C65" s="1"/>
      <c r="D65" s="1"/>
      <c r="E65" s="20"/>
      <c r="F65" s="62"/>
      <c r="G65" s="50"/>
      <c r="J65" s="1"/>
      <c r="L65" s="4"/>
      <c r="O65" s="15"/>
      <c r="P65" s="53"/>
    </row>
    <row r="66" spans="1:16">
      <c r="A66" s="1"/>
      <c r="B66" s="1"/>
      <c r="C66" s="1"/>
      <c r="D66" s="1"/>
      <c r="E66" s="20"/>
      <c r="F66" s="63"/>
      <c r="G66" s="50"/>
      <c r="J66" s="1"/>
      <c r="L66" s="4"/>
      <c r="O66" s="15"/>
      <c r="P66" s="53"/>
    </row>
    <row r="67" spans="1:16">
      <c r="A67" s="1"/>
      <c r="B67" s="1"/>
      <c r="C67" s="1"/>
      <c r="D67" s="1"/>
      <c r="E67" s="20"/>
      <c r="F67" s="19"/>
      <c r="G67" s="50"/>
      <c r="J67" s="1"/>
      <c r="L67" s="4"/>
      <c r="O67" s="15"/>
      <c r="P67" s="53"/>
    </row>
    <row r="68" spans="1:16">
      <c r="A68" s="1"/>
      <c r="B68" s="1"/>
      <c r="C68" s="1"/>
      <c r="D68" s="1"/>
      <c r="E68" s="20"/>
      <c r="F68" s="50"/>
      <c r="G68" s="64"/>
      <c r="J68" s="1"/>
      <c r="P68" s="53"/>
    </row>
    <row r="69" spans="1:16">
      <c r="A69" s="1"/>
      <c r="B69" s="1"/>
      <c r="C69" s="1"/>
      <c r="D69" s="1"/>
      <c r="E69" s="64"/>
      <c r="F69" s="50"/>
      <c r="G69" s="61"/>
      <c r="H69" s="4"/>
      <c r="J69" s="1"/>
      <c r="P69" s="53"/>
    </row>
    <row r="70" spans="1:16">
      <c r="A70" s="1"/>
      <c r="B70" s="1"/>
      <c r="C70" s="1"/>
      <c r="D70" s="1"/>
      <c r="E70" s="20"/>
      <c r="F70" s="50"/>
      <c r="G70" s="61"/>
      <c r="J70" s="1"/>
      <c r="P70" s="53"/>
    </row>
    <row r="71" spans="1:16">
      <c r="A71" s="1"/>
      <c r="B71" s="1"/>
      <c r="C71" s="1"/>
      <c r="D71" s="1"/>
      <c r="E71" s="20"/>
      <c r="F71" s="50"/>
      <c r="G71" s="61"/>
      <c r="J71" s="1"/>
      <c r="P71" s="53"/>
    </row>
    <row r="72" spans="1:16">
      <c r="A72" s="1"/>
      <c r="B72" s="1"/>
      <c r="C72" s="1"/>
      <c r="D72" s="1"/>
      <c r="E72" s="20"/>
      <c r="F72" s="50"/>
      <c r="G72" s="61"/>
      <c r="J72" s="1"/>
      <c r="P72" s="53"/>
    </row>
    <row r="73" spans="1:16">
      <c r="A73" s="1"/>
      <c r="B73" s="1"/>
      <c r="C73" s="1"/>
      <c r="D73" s="1"/>
      <c r="E73" s="20"/>
      <c r="F73" s="50"/>
      <c r="G73" s="61"/>
      <c r="J73" s="1"/>
      <c r="P73" s="53"/>
    </row>
    <row r="74" spans="1:16">
      <c r="A74" s="1"/>
      <c r="B74" s="1"/>
      <c r="C74" s="1"/>
      <c r="E74" s="17"/>
      <c r="F74" s="19"/>
      <c r="G74" s="61"/>
      <c r="J74" s="1"/>
      <c r="P74" s="53"/>
    </row>
    <row r="75" spans="1:16">
      <c r="A75" s="1"/>
      <c r="B75" s="1"/>
      <c r="C75" s="1"/>
      <c r="E75" s="17"/>
      <c r="F75" s="19"/>
      <c r="G75" s="61"/>
      <c r="H75" s="4"/>
      <c r="J75" s="1"/>
      <c r="P75" s="53"/>
    </row>
    <row r="76" spans="1:16">
      <c r="A76" s="1"/>
      <c r="B76" s="1"/>
      <c r="C76" s="1"/>
      <c r="E76" s="17"/>
      <c r="F76" s="50"/>
      <c r="G76" s="61"/>
      <c r="J76" s="1"/>
      <c r="P76" s="53"/>
    </row>
  </sheetData>
  <pageMargins left="0.74803149606299213" right="0.74803149606299213" top="0.62992125984251968" bottom="0.55118110236220474" header="0.35433070866141736" footer="0.31496062992125984"/>
  <pageSetup paperSize="9" scale="53" fitToHeight="0" orientation="landscape" horizontalDpi="4294967293" verticalDpi="300" r:id="rId1"/>
  <headerFooter alignWithMargins="0">
    <oddHeader>&amp;C&amp;18&amp;UCashflow</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5A794-C62A-4170-BB16-D5BBFEF0F6FB}">
  <sheetPr>
    <pageSetUpPr fitToPage="1"/>
  </sheetPr>
  <dimension ref="A2:K61"/>
  <sheetViews>
    <sheetView topLeftCell="A25" workbookViewId="0">
      <selection activeCell="I27" sqref="I27"/>
    </sheetView>
  </sheetViews>
  <sheetFormatPr defaultRowHeight="12.75"/>
  <cols>
    <col min="1" max="1" width="60" customWidth="1"/>
    <col min="2" max="2" width="21.42578125" customWidth="1"/>
    <col min="3" max="3" width="14" customWidth="1"/>
    <col min="4" max="4" width="16.85546875" customWidth="1"/>
    <col min="5" max="7" width="14" customWidth="1"/>
    <col min="8" max="8" width="19.28515625" style="6" customWidth="1"/>
    <col min="9" max="9" width="18.42578125" customWidth="1"/>
    <col min="10" max="10" width="12.5703125" style="14" customWidth="1"/>
    <col min="11" max="11" width="12.85546875" style="14" bestFit="1" customWidth="1"/>
  </cols>
  <sheetData>
    <row r="2" spans="1:9">
      <c r="F2" s="16" t="s">
        <v>52</v>
      </c>
      <c r="H2" s="5"/>
    </row>
    <row r="3" spans="1:9">
      <c r="A3" s="1" t="s">
        <v>23</v>
      </c>
      <c r="B3" s="1" t="s">
        <v>21</v>
      </c>
      <c r="C3" s="16" t="s">
        <v>16</v>
      </c>
      <c r="D3" s="5" t="s">
        <v>9</v>
      </c>
      <c r="E3" s="5" t="s">
        <v>14</v>
      </c>
      <c r="F3" s="16" t="s">
        <v>16</v>
      </c>
      <c r="G3" s="5" t="s">
        <v>15</v>
      </c>
      <c r="H3" s="5" t="s">
        <v>17</v>
      </c>
      <c r="I3" s="5" t="s">
        <v>10</v>
      </c>
    </row>
    <row r="4" spans="1:9">
      <c r="A4" s="21" t="s">
        <v>42</v>
      </c>
      <c r="B4" t="s">
        <v>53</v>
      </c>
      <c r="C4" s="27">
        <f t="shared" ref="C4:C13" si="0">D4/10.76</f>
        <v>179.83271375464685</v>
      </c>
      <c r="D4" s="23">
        <f>1683+252</f>
        <v>1935</v>
      </c>
      <c r="E4" s="6">
        <v>5</v>
      </c>
      <c r="F4" s="23">
        <v>450</v>
      </c>
      <c r="G4" s="22">
        <f>I4/D4</f>
        <v>284.23772609819122</v>
      </c>
      <c r="H4" s="22">
        <f t="shared" ref="H4:H9" si="1">G4*10.7</f>
        <v>3041.3436692506457</v>
      </c>
      <c r="I4" s="23">
        <v>550000</v>
      </c>
    </row>
    <row r="5" spans="1:9">
      <c r="A5" s="21" t="s">
        <v>43</v>
      </c>
      <c r="B5" s="4" t="s">
        <v>55</v>
      </c>
      <c r="C5" s="27">
        <f t="shared" si="0"/>
        <v>118.49442379182156</v>
      </c>
      <c r="D5" s="23">
        <v>1275</v>
      </c>
      <c r="E5" s="45" t="s">
        <v>54</v>
      </c>
      <c r="F5" s="23">
        <v>176.18518518518519</v>
      </c>
      <c r="G5" s="22">
        <f t="shared" ref="G5:G10" si="2">I5/D5</f>
        <v>294.11764705882354</v>
      </c>
      <c r="H5" s="22">
        <f t="shared" si="1"/>
        <v>3147.0588235294117</v>
      </c>
      <c r="I5" s="23">
        <v>375000</v>
      </c>
    </row>
    <row r="6" spans="1:9">
      <c r="A6" s="21" t="s">
        <v>44</v>
      </c>
      <c r="B6" s="4" t="s">
        <v>55</v>
      </c>
      <c r="C6" s="27">
        <f t="shared" si="0"/>
        <v>118.49442379182156</v>
      </c>
      <c r="D6" s="23">
        <v>1275</v>
      </c>
      <c r="E6" s="45" t="s">
        <v>54</v>
      </c>
      <c r="F6" s="23">
        <v>155.88148148148147</v>
      </c>
      <c r="G6" s="22">
        <f t="shared" si="2"/>
        <v>282.35294117647061</v>
      </c>
      <c r="H6" s="22">
        <f t="shared" si="1"/>
        <v>3021.1764705882351</v>
      </c>
      <c r="I6" s="90">
        <v>360000</v>
      </c>
    </row>
    <row r="7" spans="1:9">
      <c r="A7" s="21" t="s">
        <v>45</v>
      </c>
      <c r="B7" s="4" t="s">
        <v>56</v>
      </c>
      <c r="C7" s="27">
        <f t="shared" si="0"/>
        <v>138.3828996282528</v>
      </c>
      <c r="D7" s="23">
        <v>1489</v>
      </c>
      <c r="E7" s="45">
        <v>4</v>
      </c>
      <c r="F7" s="23">
        <v>193.45925925925926</v>
      </c>
      <c r="G7" s="22">
        <f t="shared" si="2"/>
        <v>292.1423774345198</v>
      </c>
      <c r="H7" s="22">
        <f t="shared" si="1"/>
        <v>3125.9234385493619</v>
      </c>
      <c r="I7" s="90">
        <v>435000</v>
      </c>
    </row>
    <row r="8" spans="1:9">
      <c r="A8" s="21" t="s">
        <v>46</v>
      </c>
      <c r="B8" t="s">
        <v>55</v>
      </c>
      <c r="C8" s="27">
        <f t="shared" si="0"/>
        <v>118.49442379182156</v>
      </c>
      <c r="D8" s="23">
        <v>1275</v>
      </c>
      <c r="E8" s="45" t="s">
        <v>54</v>
      </c>
      <c r="F8" s="23">
        <v>200</v>
      </c>
      <c r="G8" s="22">
        <f t="shared" si="2"/>
        <v>290.19607843137254</v>
      </c>
      <c r="H8" s="22">
        <f t="shared" si="1"/>
        <v>3105.0980392156862</v>
      </c>
      <c r="I8" s="90">
        <v>370000</v>
      </c>
    </row>
    <row r="9" spans="1:9">
      <c r="A9" s="21" t="s">
        <v>47</v>
      </c>
      <c r="B9" t="s">
        <v>55</v>
      </c>
      <c r="C9" s="27">
        <f t="shared" si="0"/>
        <v>118.49442379182156</v>
      </c>
      <c r="D9" s="23">
        <v>1275</v>
      </c>
      <c r="E9" s="45" t="s">
        <v>54</v>
      </c>
      <c r="F9" s="23">
        <v>350</v>
      </c>
      <c r="G9" s="22">
        <f t="shared" si="2"/>
        <v>290.19607843137254</v>
      </c>
      <c r="H9" s="22">
        <f t="shared" si="1"/>
        <v>3105.0980392156862</v>
      </c>
      <c r="I9" s="90">
        <v>370000</v>
      </c>
    </row>
    <row r="10" spans="1:9">
      <c r="A10" s="21" t="s">
        <v>48</v>
      </c>
      <c r="B10" t="s">
        <v>55</v>
      </c>
      <c r="C10" s="27">
        <f t="shared" si="0"/>
        <v>138.3828996282528</v>
      </c>
      <c r="D10" s="23">
        <v>1489</v>
      </c>
      <c r="E10" s="45">
        <v>4</v>
      </c>
      <c r="F10" s="23">
        <v>300</v>
      </c>
      <c r="G10" s="22">
        <f t="shared" si="2"/>
        <v>292.1423774345198</v>
      </c>
      <c r="H10" s="22">
        <f t="shared" ref="H10:H15" si="3">G10*10.7</f>
        <v>3125.9234385493619</v>
      </c>
      <c r="I10" s="90">
        <v>435000</v>
      </c>
    </row>
    <row r="11" spans="1:9">
      <c r="A11" s="21" t="s">
        <v>49</v>
      </c>
      <c r="B11" t="s">
        <v>55</v>
      </c>
      <c r="C11" s="27">
        <f t="shared" si="0"/>
        <v>138.3828996282528</v>
      </c>
      <c r="D11" s="23">
        <v>1489</v>
      </c>
      <c r="E11" s="45">
        <v>4</v>
      </c>
      <c r="F11" s="23">
        <v>260</v>
      </c>
      <c r="G11" s="22">
        <f>I11/D11</f>
        <v>292.1423774345198</v>
      </c>
      <c r="H11" s="22">
        <f t="shared" si="3"/>
        <v>3125.9234385493619</v>
      </c>
      <c r="I11" s="90">
        <v>435000</v>
      </c>
    </row>
    <row r="12" spans="1:9">
      <c r="A12" s="21" t="s">
        <v>50</v>
      </c>
      <c r="B12" s="4" t="s">
        <v>53</v>
      </c>
      <c r="C12" s="27">
        <f t="shared" si="0"/>
        <v>179.83271375464685</v>
      </c>
      <c r="D12" s="23">
        <f>1683+252</f>
        <v>1935</v>
      </c>
      <c r="E12" s="6">
        <v>5</v>
      </c>
      <c r="F12" s="23">
        <v>200</v>
      </c>
      <c r="G12" s="22">
        <f>I12/D12</f>
        <v>276.48578811369509</v>
      </c>
      <c r="H12" s="22">
        <f t="shared" si="3"/>
        <v>2958.3979328165374</v>
      </c>
      <c r="I12" s="90">
        <v>535000</v>
      </c>
    </row>
    <row r="13" spans="1:9">
      <c r="A13" s="21" t="s">
        <v>51</v>
      </c>
      <c r="B13" s="4" t="s">
        <v>53</v>
      </c>
      <c r="C13" s="27">
        <f t="shared" si="0"/>
        <v>179.83271375464685</v>
      </c>
      <c r="D13" s="23">
        <f>1683+252</f>
        <v>1935</v>
      </c>
      <c r="E13" s="6">
        <v>5</v>
      </c>
      <c r="F13" s="23">
        <v>661.51851851851848</v>
      </c>
      <c r="G13" s="22">
        <f>I13/D13</f>
        <v>276.48578811369509</v>
      </c>
      <c r="H13" s="22">
        <f t="shared" si="3"/>
        <v>2958.3979328165374</v>
      </c>
      <c r="I13" s="90">
        <v>535000</v>
      </c>
    </row>
    <row r="14" spans="1:9">
      <c r="A14" s="21" t="s">
        <v>125</v>
      </c>
      <c r="B14" s="4" t="s">
        <v>56</v>
      </c>
      <c r="C14" s="27">
        <f>D14/10.76</f>
        <v>138.3828996282528</v>
      </c>
      <c r="D14" s="23">
        <v>1489</v>
      </c>
      <c r="E14" s="45">
        <v>4</v>
      </c>
      <c r="F14" s="23">
        <v>193.45925925925926</v>
      </c>
      <c r="G14" s="22">
        <f>I14/D14</f>
        <v>302.21625251846876</v>
      </c>
      <c r="H14" s="22">
        <f t="shared" si="3"/>
        <v>3233.7139019476153</v>
      </c>
      <c r="I14" s="78">
        <v>450000</v>
      </c>
    </row>
    <row r="15" spans="1:9">
      <c r="A15" s="21" t="s">
        <v>126</v>
      </c>
      <c r="B15" s="4" t="s">
        <v>56</v>
      </c>
      <c r="C15" s="27">
        <f>D15/10.76</f>
        <v>138.3828996282528</v>
      </c>
      <c r="D15" s="23">
        <v>1489</v>
      </c>
      <c r="E15" s="6">
        <v>4</v>
      </c>
      <c r="F15" s="23">
        <v>193</v>
      </c>
      <c r="G15" s="22">
        <f>I15/D15</f>
        <v>298.85829415715244</v>
      </c>
      <c r="H15" s="22">
        <f t="shared" si="3"/>
        <v>3197.783747481531</v>
      </c>
      <c r="I15" s="78">
        <v>445000</v>
      </c>
    </row>
    <row r="16" spans="1:9">
      <c r="A16" s="13"/>
      <c r="C16" s="27"/>
      <c r="D16" s="23"/>
      <c r="E16" s="6"/>
      <c r="F16" s="6"/>
      <c r="G16" s="22"/>
      <c r="H16" s="22"/>
    </row>
    <row r="17" spans="1:11">
      <c r="A17" s="25" t="s">
        <v>147</v>
      </c>
      <c r="C17" s="27"/>
      <c r="D17" s="23"/>
      <c r="E17" s="6"/>
      <c r="F17" s="6"/>
      <c r="G17" s="22"/>
      <c r="H17" s="22"/>
    </row>
    <row r="18" spans="1:11">
      <c r="A18" s="21" t="s">
        <v>127</v>
      </c>
      <c r="B18" s="13" t="s">
        <v>128</v>
      </c>
      <c r="C18" s="79">
        <f t="shared" ref="C18:C24" si="4">D18/10.76</f>
        <v>40.148698884758367</v>
      </c>
      <c r="D18" s="23">
        <v>432</v>
      </c>
      <c r="E18" s="6">
        <v>1</v>
      </c>
      <c r="F18" s="23"/>
      <c r="G18" s="22">
        <f t="shared" ref="G18:G23" si="5">I18/D18</f>
        <v>312.5</v>
      </c>
      <c r="H18" s="22">
        <f t="shared" ref="H18:H23" si="6">G18*10.7</f>
        <v>3343.75</v>
      </c>
      <c r="I18" s="78">
        <v>135000</v>
      </c>
      <c r="J18" s="22"/>
    </row>
    <row r="19" spans="1:11">
      <c r="A19" s="21" t="s">
        <v>129</v>
      </c>
      <c r="B19" s="13" t="s">
        <v>130</v>
      </c>
      <c r="C19" s="79">
        <f t="shared" si="4"/>
        <v>74.442379182156131</v>
      </c>
      <c r="D19" s="23">
        <v>801</v>
      </c>
      <c r="E19" s="6">
        <v>2</v>
      </c>
      <c r="F19" s="23"/>
      <c r="G19" s="22">
        <f t="shared" si="5"/>
        <v>249.68789013732834</v>
      </c>
      <c r="H19" s="22">
        <f t="shared" si="6"/>
        <v>2671.6604244694131</v>
      </c>
      <c r="I19" s="78">
        <v>200000</v>
      </c>
      <c r="J19" s="22"/>
    </row>
    <row r="20" spans="1:11">
      <c r="A20" s="21" t="s">
        <v>131</v>
      </c>
      <c r="B20" s="13" t="s">
        <v>132</v>
      </c>
      <c r="C20" s="79">
        <f t="shared" si="4"/>
        <v>89.126394052044617</v>
      </c>
      <c r="D20" s="23">
        <v>959</v>
      </c>
      <c r="E20" s="6">
        <v>3</v>
      </c>
      <c r="F20" s="23"/>
      <c r="G20" s="22">
        <f t="shared" si="5"/>
        <v>271.11574556830033</v>
      </c>
      <c r="H20" s="22">
        <f t="shared" si="6"/>
        <v>2900.9384775808135</v>
      </c>
      <c r="I20" s="78">
        <v>260000</v>
      </c>
      <c r="J20" s="22"/>
    </row>
    <row r="21" spans="1:11">
      <c r="A21" s="21" t="s">
        <v>133</v>
      </c>
      <c r="B21" s="13" t="s">
        <v>130</v>
      </c>
      <c r="C21" s="79">
        <f t="shared" si="4"/>
        <v>55.204460966542754</v>
      </c>
      <c r="D21" s="23">
        <v>594</v>
      </c>
      <c r="E21" s="6">
        <v>2</v>
      </c>
      <c r="F21" s="23"/>
      <c r="G21" s="22">
        <f t="shared" si="5"/>
        <v>303.030303030303</v>
      </c>
      <c r="H21" s="22">
        <f t="shared" si="6"/>
        <v>3242.424242424242</v>
      </c>
      <c r="I21" s="78">
        <v>180000</v>
      </c>
      <c r="J21" s="22"/>
    </row>
    <row r="22" spans="1:11">
      <c r="A22" s="21" t="s">
        <v>134</v>
      </c>
      <c r="B22" s="13" t="s">
        <v>135</v>
      </c>
      <c r="C22" s="79">
        <f t="shared" si="4"/>
        <v>67.193308550185876</v>
      </c>
      <c r="D22" s="23">
        <v>723</v>
      </c>
      <c r="E22" s="6">
        <v>2</v>
      </c>
      <c r="F22" s="23"/>
      <c r="G22" s="22">
        <f t="shared" si="5"/>
        <v>262.79391424619638</v>
      </c>
      <c r="H22" s="22">
        <f t="shared" si="6"/>
        <v>2811.8948824343011</v>
      </c>
      <c r="I22" s="78">
        <v>190000</v>
      </c>
      <c r="J22" s="22"/>
    </row>
    <row r="23" spans="1:11">
      <c r="A23" s="21" t="s">
        <v>136</v>
      </c>
      <c r="B23" s="13" t="s">
        <v>135</v>
      </c>
      <c r="C23" s="79">
        <f t="shared" si="4"/>
        <v>69.05204460966543</v>
      </c>
      <c r="D23" s="23">
        <v>743</v>
      </c>
      <c r="E23" s="6">
        <v>2</v>
      </c>
      <c r="F23" s="23"/>
      <c r="G23" s="22">
        <f t="shared" si="5"/>
        <v>316.28532974427992</v>
      </c>
      <c r="H23" s="22">
        <f t="shared" si="6"/>
        <v>3384.2530282637949</v>
      </c>
      <c r="I23" s="78">
        <v>235000</v>
      </c>
      <c r="J23" s="22"/>
    </row>
    <row r="24" spans="1:11">
      <c r="A24" s="21" t="s">
        <v>137</v>
      </c>
      <c r="B24" s="13" t="s">
        <v>135</v>
      </c>
      <c r="C24" s="79">
        <f t="shared" si="4"/>
        <v>68.587360594795541</v>
      </c>
      <c r="D24" s="23">
        <v>738</v>
      </c>
      <c r="E24" s="6">
        <v>2</v>
      </c>
      <c r="F24" s="23"/>
      <c r="G24" s="22">
        <f>I24/D24</f>
        <v>318.42818428184285</v>
      </c>
      <c r="H24" s="22">
        <f>G24*10.7</f>
        <v>3407.1815718157181</v>
      </c>
      <c r="I24" s="78">
        <v>235000</v>
      </c>
      <c r="J24" s="22"/>
    </row>
    <row r="25" spans="1:11">
      <c r="A25" s="13"/>
      <c r="D25" s="27"/>
      <c r="G25" s="22"/>
      <c r="H25" s="26"/>
      <c r="I25" s="30"/>
    </row>
    <row r="26" spans="1:11" s="1" customFormat="1">
      <c r="A26" s="25" t="s">
        <v>18</v>
      </c>
      <c r="C26" s="20">
        <f>SUM(C4:C24)</f>
        <v>2169.144981412639</v>
      </c>
      <c r="D26" s="20">
        <f>SUM(D4:D24)</f>
        <v>23340</v>
      </c>
      <c r="F26" s="8"/>
      <c r="G26" s="7">
        <f>I26/D26</f>
        <v>288.34618680377037</v>
      </c>
      <c r="I26" s="31">
        <f>SUM(I4:I24)</f>
        <v>6730000</v>
      </c>
      <c r="J26" s="31"/>
      <c r="K26" s="31"/>
    </row>
    <row r="27" spans="1:11">
      <c r="A27" s="1"/>
      <c r="B27" s="1"/>
      <c r="C27" s="1"/>
      <c r="D27" s="19"/>
      <c r="E27" s="44"/>
      <c r="F27" s="1"/>
      <c r="G27" s="1"/>
    </row>
    <row r="28" spans="1:11">
      <c r="A28" s="1"/>
      <c r="B28" s="1"/>
      <c r="C28" s="1"/>
      <c r="D28" s="1"/>
      <c r="E28" s="1"/>
      <c r="F28" s="1"/>
      <c r="G28" s="1"/>
      <c r="H28" s="7"/>
    </row>
    <row r="29" spans="1:11">
      <c r="A29" s="1" t="s">
        <v>11</v>
      </c>
      <c r="B29" s="16" t="s">
        <v>4</v>
      </c>
      <c r="C29" s="16" t="s">
        <v>12</v>
      </c>
      <c r="D29" s="1"/>
      <c r="E29" s="1"/>
      <c r="F29" s="1"/>
      <c r="G29" s="1"/>
      <c r="H29" s="1"/>
      <c r="I29" s="7"/>
    </row>
    <row r="30" spans="1:11">
      <c r="A30" s="4" t="s">
        <v>22</v>
      </c>
      <c r="B30" s="28" t="s">
        <v>19</v>
      </c>
      <c r="C30" s="28"/>
      <c r="D30" s="24">
        <v>200000</v>
      </c>
      <c r="E30" s="24"/>
      <c r="F30" s="24"/>
      <c r="G30" s="24"/>
      <c r="H30" s="24"/>
      <c r="I30" s="6"/>
    </row>
    <row r="31" spans="1:11">
      <c r="A31" s="4" t="s">
        <v>13</v>
      </c>
      <c r="B31">
        <v>131.4</v>
      </c>
      <c r="C31" s="14">
        <f>B31*10.76</f>
        <v>1413.864</v>
      </c>
      <c r="D31" s="24">
        <f>SUM(D4:D15)*B31</f>
        <v>2411190</v>
      </c>
      <c r="E31" s="24"/>
      <c r="F31" s="24"/>
      <c r="G31" s="24"/>
      <c r="H31" s="24"/>
      <c r="I31" s="6"/>
    </row>
    <row r="32" spans="1:11">
      <c r="A32" s="4" t="s">
        <v>138</v>
      </c>
      <c r="B32" s="27">
        <v>120</v>
      </c>
      <c r="C32" s="14">
        <f>B32*10.76</f>
        <v>1291.2</v>
      </c>
      <c r="D32" s="24">
        <v>540000</v>
      </c>
      <c r="E32" s="24"/>
      <c r="F32" s="24"/>
      <c r="G32" s="24"/>
      <c r="H32" s="24"/>
      <c r="I32" s="6"/>
    </row>
    <row r="33" spans="1:9">
      <c r="A33" s="4" t="s">
        <v>57</v>
      </c>
      <c r="B33" s="28" t="s">
        <v>19</v>
      </c>
      <c r="C33" s="28"/>
      <c r="D33" s="24">
        <v>50000</v>
      </c>
      <c r="E33" s="24"/>
      <c r="F33" s="24"/>
      <c r="G33" s="24"/>
      <c r="H33" s="24"/>
      <c r="I33" s="6"/>
    </row>
    <row r="34" spans="1:9">
      <c r="A34" s="4"/>
      <c r="B34" s="28"/>
      <c r="C34" s="28"/>
      <c r="D34" s="24"/>
      <c r="E34" s="24"/>
      <c r="F34" s="24"/>
      <c r="G34" s="24"/>
      <c r="H34" s="24"/>
      <c r="I34" s="6"/>
    </row>
    <row r="35" spans="1:9">
      <c r="H35"/>
      <c r="I35" s="6"/>
    </row>
    <row r="36" spans="1:9">
      <c r="A36" s="1" t="s">
        <v>0</v>
      </c>
      <c r="B36" s="18">
        <f>D36/D26</f>
        <v>137.15467009425879</v>
      </c>
      <c r="C36" s="18"/>
      <c r="D36" s="8">
        <f>SUM(D30:D35)</f>
        <v>3201190</v>
      </c>
      <c r="E36" s="8"/>
      <c r="F36" s="8"/>
      <c r="G36" s="8"/>
      <c r="H36" s="8"/>
      <c r="I36" s="6"/>
    </row>
    <row r="38" spans="1:9">
      <c r="C38" s="12"/>
    </row>
    <row r="39" spans="1:9">
      <c r="A39" s="41" t="s">
        <v>20</v>
      </c>
      <c r="B39" s="23"/>
      <c r="C39" s="23"/>
      <c r="D39" s="2"/>
      <c r="E39" s="2"/>
      <c r="F39" s="2"/>
      <c r="G39" s="29"/>
      <c r="H39"/>
      <c r="I39" s="6"/>
    </row>
    <row r="40" spans="1:9">
      <c r="A40" s="21"/>
      <c r="B40" s="23"/>
      <c r="C40" s="23"/>
      <c r="D40" s="2"/>
      <c r="E40" s="2"/>
      <c r="F40" s="2"/>
      <c r="G40" s="29"/>
      <c r="H40"/>
      <c r="I40" s="6"/>
    </row>
    <row r="41" spans="1:9">
      <c r="A41" s="25" t="s">
        <v>117</v>
      </c>
      <c r="B41" s="23"/>
      <c r="C41" s="23"/>
      <c r="D41" s="2"/>
      <c r="E41" s="2"/>
      <c r="F41" s="2"/>
      <c r="G41" s="24"/>
      <c r="H41"/>
      <c r="I41" s="6"/>
    </row>
    <row r="42" spans="1:9">
      <c r="A42" s="21" t="s">
        <v>64</v>
      </c>
      <c r="B42" s="23">
        <v>145</v>
      </c>
      <c r="C42" s="23">
        <v>1518</v>
      </c>
      <c r="D42" s="2">
        <v>438000</v>
      </c>
      <c r="E42" s="2">
        <f t="shared" ref="E42:E48" si="7">D42/C42</f>
        <v>288.53754940711462</v>
      </c>
      <c r="F42" s="2"/>
      <c r="G42" s="24" t="s">
        <v>62</v>
      </c>
      <c r="H42"/>
      <c r="I42" s="13"/>
    </row>
    <row r="43" spans="1:9">
      <c r="A43" s="21" t="s">
        <v>61</v>
      </c>
      <c r="B43" s="23">
        <f>8.5*7.5*2+8.5*5.5</f>
        <v>174.25</v>
      </c>
      <c r="C43" s="23">
        <v>1884</v>
      </c>
      <c r="D43" s="2">
        <v>485000</v>
      </c>
      <c r="E43" s="2">
        <f t="shared" si="7"/>
        <v>257.43099787685776</v>
      </c>
      <c r="F43" s="2"/>
      <c r="G43" s="24" t="s">
        <v>59</v>
      </c>
      <c r="H43"/>
      <c r="I43" s="13"/>
    </row>
    <row r="44" spans="1:9">
      <c r="A44" s="21" t="s">
        <v>60</v>
      </c>
      <c r="B44" s="23">
        <f>8.5*7.5*2+8.5*5.5</f>
        <v>174.25</v>
      </c>
      <c r="C44" s="23">
        <v>1884</v>
      </c>
      <c r="D44" s="2">
        <v>461000</v>
      </c>
      <c r="E44" s="2">
        <f t="shared" si="7"/>
        <v>244.69214437367305</v>
      </c>
      <c r="F44" s="2"/>
      <c r="G44" s="24" t="s">
        <v>58</v>
      </c>
      <c r="H44"/>
      <c r="I44" s="13"/>
    </row>
    <row r="45" spans="1:9">
      <c r="A45" s="21" t="s">
        <v>68</v>
      </c>
      <c r="B45" s="23">
        <v>165</v>
      </c>
      <c r="C45" s="23">
        <f>B45*10.76</f>
        <v>1775.3999999999999</v>
      </c>
      <c r="D45" s="2">
        <v>475000</v>
      </c>
      <c r="E45" s="2">
        <f t="shared" si="7"/>
        <v>267.54534189478431</v>
      </c>
      <c r="F45" s="2"/>
      <c r="G45" s="24" t="s">
        <v>66</v>
      </c>
      <c r="H45"/>
      <c r="I45" s="13"/>
    </row>
    <row r="46" spans="1:9">
      <c r="A46" s="21" t="s">
        <v>65</v>
      </c>
      <c r="B46" s="23">
        <v>145</v>
      </c>
      <c r="C46" s="23">
        <v>1518</v>
      </c>
      <c r="D46" s="2">
        <v>415187</v>
      </c>
      <c r="E46" s="2">
        <f t="shared" si="7"/>
        <v>273.50922266139656</v>
      </c>
      <c r="F46" s="2"/>
      <c r="G46" s="24" t="s">
        <v>58</v>
      </c>
      <c r="H46"/>
      <c r="I46" s="13"/>
    </row>
    <row r="47" spans="1:9">
      <c r="A47" s="21" t="s">
        <v>63</v>
      </c>
      <c r="B47" s="23">
        <v>117</v>
      </c>
      <c r="C47" s="23">
        <v>1302</v>
      </c>
      <c r="D47" s="2">
        <v>350000</v>
      </c>
      <c r="E47" s="2">
        <f t="shared" si="7"/>
        <v>268.81720430107526</v>
      </c>
      <c r="F47" s="2"/>
      <c r="G47" s="24" t="s">
        <v>62</v>
      </c>
      <c r="H47"/>
      <c r="I47" s="13"/>
    </row>
    <row r="48" spans="1:9">
      <c r="A48" s="21" t="s">
        <v>67</v>
      </c>
      <c r="B48" s="23">
        <v>145</v>
      </c>
      <c r="C48" s="23">
        <v>1518</v>
      </c>
      <c r="D48" s="2">
        <v>407500</v>
      </c>
      <c r="E48" s="2">
        <f t="shared" si="7"/>
        <v>268.44532279314888</v>
      </c>
      <c r="F48" s="2"/>
      <c r="G48" s="24" t="s">
        <v>58</v>
      </c>
      <c r="H48"/>
      <c r="I48" s="13"/>
    </row>
    <row r="49" spans="1:9">
      <c r="A49" s="21"/>
      <c r="B49" s="23"/>
      <c r="C49" s="23"/>
      <c r="D49" s="2"/>
      <c r="E49" s="2"/>
      <c r="F49" s="2"/>
      <c r="G49" s="24"/>
      <c r="H49"/>
      <c r="I49" s="13"/>
    </row>
    <row r="50" spans="1:9">
      <c r="A50" s="25" t="s">
        <v>118</v>
      </c>
      <c r="B50" s="23"/>
      <c r="C50" s="23"/>
      <c r="D50" s="2"/>
      <c r="E50" s="2"/>
      <c r="F50" s="2"/>
      <c r="G50" s="24"/>
      <c r="H50"/>
      <c r="I50" s="13"/>
    </row>
    <row r="51" spans="1:9">
      <c r="A51" s="21" t="s">
        <v>119</v>
      </c>
      <c r="B51" s="23">
        <f>196-23</f>
        <v>173</v>
      </c>
      <c r="C51" s="24">
        <f>B51*10.76</f>
        <v>1861.48</v>
      </c>
      <c r="D51" s="2">
        <v>575000</v>
      </c>
      <c r="E51" s="2">
        <f>D51/C51</f>
        <v>308.89399832391427</v>
      </c>
      <c r="F51" s="2"/>
      <c r="G51" s="24" t="s">
        <v>120</v>
      </c>
      <c r="H51"/>
      <c r="I51" s="46"/>
    </row>
    <row r="52" spans="1:9">
      <c r="A52" s="21" t="s">
        <v>84</v>
      </c>
      <c r="B52" s="23">
        <v>181</v>
      </c>
      <c r="C52" s="24">
        <f>B52*10.76</f>
        <v>1947.56</v>
      </c>
      <c r="D52" s="2">
        <v>610000</v>
      </c>
      <c r="E52" s="2">
        <f>D52/C52</f>
        <v>313.21242991230054</v>
      </c>
      <c r="F52" s="2"/>
      <c r="G52" s="24" t="s">
        <v>79</v>
      </c>
      <c r="H52"/>
      <c r="I52" s="46"/>
    </row>
    <row r="53" spans="1:9">
      <c r="A53" s="21" t="s">
        <v>74</v>
      </c>
      <c r="B53" s="23">
        <v>177</v>
      </c>
      <c r="C53" s="24">
        <f>B53*10.76</f>
        <v>1904.52</v>
      </c>
      <c r="D53" s="2">
        <v>515000</v>
      </c>
      <c r="E53" s="2">
        <f t="shared" ref="E53:E59" si="8">D53/C53</f>
        <v>270.40934198643225</v>
      </c>
      <c r="F53" s="2"/>
      <c r="G53" s="24" t="s">
        <v>69</v>
      </c>
      <c r="H53"/>
      <c r="I53" s="46"/>
    </row>
    <row r="54" spans="1:9">
      <c r="A54" s="21" t="s">
        <v>76</v>
      </c>
      <c r="B54" s="23">
        <f>184-3*5.5</f>
        <v>167.5</v>
      </c>
      <c r="C54" s="24">
        <f>B54*10.76</f>
        <v>1802.3</v>
      </c>
      <c r="D54" s="2">
        <v>479995</v>
      </c>
      <c r="E54" s="2">
        <f t="shared" si="8"/>
        <v>266.32358652832494</v>
      </c>
      <c r="F54" s="2"/>
      <c r="G54" s="24" t="s">
        <v>75</v>
      </c>
      <c r="H54" s="4" t="s">
        <v>78</v>
      </c>
      <c r="I54" s="13"/>
    </row>
    <row r="55" spans="1:9">
      <c r="A55" s="21" t="s">
        <v>77</v>
      </c>
      <c r="B55" s="23">
        <f>184-3*5.5</f>
        <v>167.5</v>
      </c>
      <c r="C55" s="24">
        <f>B55*10.76</f>
        <v>1802.3</v>
      </c>
      <c r="D55" s="2">
        <v>474500</v>
      </c>
      <c r="E55" s="2">
        <f t="shared" si="8"/>
        <v>263.27470454419353</v>
      </c>
      <c r="F55" s="2"/>
      <c r="G55" s="24" t="s">
        <v>75</v>
      </c>
      <c r="H55" s="4" t="s">
        <v>78</v>
      </c>
      <c r="I55" s="13"/>
    </row>
    <row r="56" spans="1:9">
      <c r="A56" s="21" t="s">
        <v>80</v>
      </c>
      <c r="B56" s="23">
        <f>C56/10.76</f>
        <v>173.79182156133828</v>
      </c>
      <c r="C56" s="23">
        <v>1870</v>
      </c>
      <c r="D56" s="2">
        <v>533000</v>
      </c>
      <c r="E56" s="2">
        <f t="shared" si="8"/>
        <v>285.02673796791441</v>
      </c>
      <c r="F56" s="2"/>
      <c r="G56" s="24" t="s">
        <v>70</v>
      </c>
      <c r="H56"/>
      <c r="I56" s="46"/>
    </row>
    <row r="57" spans="1:9">
      <c r="A57" s="21" t="s">
        <v>81</v>
      </c>
      <c r="B57" s="23">
        <f>C57/10.76</f>
        <v>149.1635687732342</v>
      </c>
      <c r="C57" s="24">
        <v>1605</v>
      </c>
      <c r="D57" s="2">
        <v>533000</v>
      </c>
      <c r="E57" s="2">
        <f t="shared" si="8"/>
        <v>332.08722741433024</v>
      </c>
      <c r="F57" s="2"/>
      <c r="G57" s="24" t="s">
        <v>71</v>
      </c>
      <c r="H57"/>
      <c r="I57" s="46"/>
    </row>
    <row r="58" spans="1:9">
      <c r="A58" s="21" t="s">
        <v>83</v>
      </c>
      <c r="B58" s="23">
        <f>C58/10.76</f>
        <v>160.50185873605949</v>
      </c>
      <c r="C58" s="24">
        <v>1727</v>
      </c>
      <c r="D58" s="2">
        <v>485000</v>
      </c>
      <c r="E58" s="2">
        <f t="shared" si="8"/>
        <v>280.83381586566298</v>
      </c>
      <c r="F58" s="2"/>
      <c r="G58" s="24" t="s">
        <v>72</v>
      </c>
      <c r="H58"/>
      <c r="I58" s="46"/>
    </row>
    <row r="59" spans="1:9">
      <c r="A59" s="21" t="s">
        <v>82</v>
      </c>
      <c r="B59" s="23">
        <f>C59/10.76</f>
        <v>180.20446096654277</v>
      </c>
      <c r="C59" s="24">
        <v>1939</v>
      </c>
      <c r="D59" s="2">
        <v>480000</v>
      </c>
      <c r="E59" s="2">
        <f t="shared" si="8"/>
        <v>247.5502836513667</v>
      </c>
      <c r="F59" s="2"/>
      <c r="G59" s="24" t="s">
        <v>73</v>
      </c>
      <c r="H59"/>
      <c r="I59" s="46"/>
    </row>
    <row r="61" spans="1:9">
      <c r="B61" s="76">
        <f>SUM(B42:B59)/16</f>
        <v>162.19760687732341</v>
      </c>
      <c r="C61" s="76">
        <f>SUM(C42:C59)/16</f>
        <v>1741.1599999999999</v>
      </c>
      <c r="D61" s="76">
        <f>SUM(D42:D59)/16</f>
        <v>482323.875</v>
      </c>
      <c r="E61" s="76">
        <f>SUM(E42:E59)/16</f>
        <v>277.28686934390566</v>
      </c>
    </row>
  </sheetData>
  <phoneticPr fontId="0" type="noConversion"/>
  <pageMargins left="0.75" right="0.75" top="0.64" bottom="0.56999999999999995" header="0.34" footer="0.3"/>
  <pageSetup paperSize="9" scale="65" fitToHeight="0" orientation="landscape" horizontalDpi="4294967293" verticalDpi="300" r:id="rId1"/>
  <headerFooter alignWithMargins="0">
    <oddHeader>&amp;C&amp;18&amp;USales</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405B5-7371-4B19-84A0-16C24152CAF9}">
  <sheetPr>
    <pageSetUpPr fitToPage="1"/>
  </sheetPr>
  <dimension ref="A2:G40"/>
  <sheetViews>
    <sheetView workbookViewId="0">
      <selection activeCell="A23" sqref="A23"/>
    </sheetView>
  </sheetViews>
  <sheetFormatPr defaultRowHeight="12.75"/>
  <cols>
    <col min="1" max="1" width="40.42578125" customWidth="1"/>
    <col min="3" max="3" width="11.42578125" customWidth="1"/>
    <col min="4" max="4" width="16.140625" customWidth="1"/>
    <col min="5" max="5" width="19.85546875" customWidth="1"/>
    <col min="6" max="6" width="6.28515625" customWidth="1"/>
    <col min="7" max="7" width="12.28515625" customWidth="1"/>
    <col min="8" max="8" width="17" customWidth="1"/>
    <col min="9" max="9" width="11.7109375" customWidth="1"/>
  </cols>
  <sheetData>
    <row r="2" spans="1:7">
      <c r="D2" s="5" t="s">
        <v>5</v>
      </c>
      <c r="E2" s="5" t="s">
        <v>4</v>
      </c>
    </row>
    <row r="4" spans="1:7" s="1" customFormat="1">
      <c r="A4" s="1" t="s">
        <v>1</v>
      </c>
      <c r="D4" s="80">
        <f>'P&amp;L'!D20</f>
        <v>6730000</v>
      </c>
      <c r="E4" s="80">
        <v>320.99958900919677</v>
      </c>
      <c r="F4" s="8"/>
    </row>
    <row r="5" spans="1:7">
      <c r="D5" s="81"/>
      <c r="E5" s="81"/>
    </row>
    <row r="6" spans="1:7">
      <c r="A6" s="1" t="s">
        <v>2</v>
      </c>
      <c r="D6" s="80">
        <f>'P&amp;L'!D5</f>
        <v>3201190</v>
      </c>
      <c r="E6" s="80">
        <v>148.49431710120675</v>
      </c>
    </row>
    <row r="7" spans="1:7">
      <c r="D7" s="80"/>
      <c r="E7" s="80"/>
    </row>
    <row r="8" spans="1:7">
      <c r="A8" t="s">
        <v>6</v>
      </c>
      <c r="C8" s="3">
        <v>0.06</v>
      </c>
      <c r="D8" s="82">
        <f>D6*C8</f>
        <v>192071.4</v>
      </c>
      <c r="E8" s="82"/>
      <c r="G8" s="15"/>
    </row>
    <row r="9" spans="1:7">
      <c r="A9" t="s">
        <v>139</v>
      </c>
      <c r="B9">
        <v>15</v>
      </c>
      <c r="C9" s="3">
        <v>0.06</v>
      </c>
      <c r="D9" s="82">
        <f>D22*C9*B9/12</f>
        <v>101250</v>
      </c>
      <c r="E9" s="82"/>
    </row>
    <row r="10" spans="1:7">
      <c r="A10" t="s">
        <v>140</v>
      </c>
      <c r="B10">
        <v>15</v>
      </c>
      <c r="C10" s="3">
        <v>0.06</v>
      </c>
      <c r="D10" s="82">
        <f>D6*C10*0.5*B10/12</f>
        <v>120044.625</v>
      </c>
      <c r="E10" s="82"/>
    </row>
    <row r="11" spans="1:7">
      <c r="A11" s="13" t="s">
        <v>7</v>
      </c>
      <c r="C11" s="3">
        <v>0.02</v>
      </c>
      <c r="D11" s="82">
        <f>C11*$D$4</f>
        <v>134600</v>
      </c>
      <c r="E11" s="82"/>
    </row>
    <row r="12" spans="1:7">
      <c r="A12" t="s">
        <v>8</v>
      </c>
      <c r="C12" s="3">
        <v>0.05</v>
      </c>
      <c r="D12" s="82">
        <f>C12*$D$6</f>
        <v>160059.5</v>
      </c>
      <c r="E12" s="82"/>
      <c r="G12" s="15"/>
    </row>
    <row r="13" spans="1:7" s="1" customFormat="1">
      <c r="A13" s="4" t="s">
        <v>141</v>
      </c>
      <c r="B13"/>
      <c r="C13"/>
      <c r="D13" s="83">
        <v>91000</v>
      </c>
      <c r="E13"/>
    </row>
    <row r="14" spans="1:7">
      <c r="A14" s="1" t="s">
        <v>3</v>
      </c>
      <c r="B14" s="1"/>
      <c r="C14" s="10"/>
      <c r="D14" s="80">
        <f>SUM(D6:D13)</f>
        <v>4000215.5249999999</v>
      </c>
      <c r="E14" s="80"/>
      <c r="F14" s="1"/>
    </row>
    <row r="15" spans="1:7" s="1" customFormat="1">
      <c r="A15" t="s">
        <v>142</v>
      </c>
      <c r="B15"/>
      <c r="C15" s="52">
        <v>0.19</v>
      </c>
      <c r="D15" s="82">
        <f>C15*D4</f>
        <v>1278700</v>
      </c>
      <c r="E15" s="84"/>
      <c r="F15"/>
      <c r="G15"/>
    </row>
    <row r="16" spans="1:7">
      <c r="A16" s="1" t="s">
        <v>0</v>
      </c>
      <c r="B16" s="1"/>
      <c r="C16" s="11"/>
      <c r="D16" s="80">
        <f>D14+D15</f>
        <v>5278915.5250000004</v>
      </c>
      <c r="E16" s="80"/>
      <c r="F16" s="1"/>
    </row>
    <row r="17" spans="1:7">
      <c r="A17" s="1" t="s">
        <v>143</v>
      </c>
      <c r="B17" s="1"/>
      <c r="C17" s="11"/>
      <c r="D17" s="80">
        <f>1000*ROUND((D4-D16)/1000,0)</f>
        <v>1451000</v>
      </c>
      <c r="E17" s="80"/>
    </row>
    <row r="18" spans="1:7">
      <c r="A18" s="4" t="s">
        <v>144</v>
      </c>
      <c r="B18" s="1"/>
      <c r="C18" s="11"/>
      <c r="D18" s="82">
        <f>D22*0.05</f>
        <v>67500</v>
      </c>
      <c r="E18" s="82"/>
    </row>
    <row r="19" spans="1:7">
      <c r="A19" s="1" t="s">
        <v>145</v>
      </c>
      <c r="B19" s="1"/>
      <c r="C19" s="11"/>
      <c r="D19" s="80">
        <f>D17-D18</f>
        <v>1383500</v>
      </c>
      <c r="E19" s="80"/>
    </row>
    <row r="20" spans="1:7">
      <c r="A20" s="1"/>
      <c r="B20" s="1"/>
      <c r="C20" s="11"/>
      <c r="D20" s="80"/>
      <c r="E20" s="80"/>
    </row>
    <row r="21" spans="1:7">
      <c r="A21" s="1"/>
      <c r="B21" s="1"/>
      <c r="C21" s="11"/>
      <c r="D21" s="80"/>
      <c r="E21" s="80"/>
      <c r="G21" s="4"/>
    </row>
    <row r="22" spans="1:7">
      <c r="A22" s="1" t="s">
        <v>146</v>
      </c>
      <c r="B22" s="1"/>
      <c r="C22" s="11"/>
      <c r="D22" s="80">
        <v>1350000</v>
      </c>
      <c r="E22" s="43"/>
    </row>
    <row r="23" spans="1:7">
      <c r="A23" s="1"/>
      <c r="D23" s="80"/>
      <c r="E23" s="80"/>
    </row>
    <row r="24" spans="1:7">
      <c r="A24" s="1"/>
      <c r="B24" s="85"/>
      <c r="C24" s="86"/>
      <c r="D24" s="15"/>
      <c r="E24" s="15"/>
      <c r="F24" s="86"/>
    </row>
    <row r="25" spans="1:7">
      <c r="A25" s="1"/>
      <c r="B25" s="85"/>
      <c r="C25" s="86"/>
      <c r="D25" s="15"/>
      <c r="F25" s="86"/>
    </row>
    <row r="26" spans="1:7">
      <c r="A26" s="4"/>
      <c r="B26" s="85"/>
      <c r="C26" s="87"/>
      <c r="D26" s="88"/>
      <c r="F26" s="86"/>
    </row>
    <row r="27" spans="1:7">
      <c r="C27" s="87"/>
      <c r="D27" s="15"/>
    </row>
    <row r="28" spans="1:7">
      <c r="A28" s="4"/>
      <c r="C28" s="86"/>
      <c r="F28" s="86"/>
    </row>
    <row r="29" spans="1:7">
      <c r="D29" s="12"/>
    </row>
    <row r="30" spans="1:7">
      <c r="D30" s="12"/>
    </row>
    <row r="31" spans="1:7">
      <c r="D31" s="12"/>
    </row>
    <row r="33" spans="3:4">
      <c r="D33" s="89"/>
    </row>
    <row r="36" spans="3:4">
      <c r="C36" s="9"/>
      <c r="D36" s="15"/>
    </row>
    <row r="38" spans="3:4">
      <c r="D38" s="81"/>
    </row>
    <row r="39" spans="3:4">
      <c r="C39" s="3"/>
      <c r="D39" s="81"/>
    </row>
    <row r="40" spans="3:4">
      <c r="D40" s="81"/>
    </row>
  </sheetData>
  <pageMargins left="0.75" right="0.75" top="1.06" bottom="1" header="0.5" footer="0.5"/>
  <pageSetup paperSize="9" orientation="landscape" horizontalDpi="4294967293" verticalDpi="300" r:id="rId1"/>
  <headerFooter alignWithMargins="0">
    <oddHeader>&amp;C&amp;18&amp;UValuation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679A044979E2B42A0FF3B73BD00A1E8" ma:contentTypeVersion="13" ma:contentTypeDescription="Create a new document." ma:contentTypeScope="" ma:versionID="93e0d19742410bb1ba1529f52abc9064">
  <xsd:schema xmlns:xsd="http://www.w3.org/2001/XMLSchema" xmlns:xs="http://www.w3.org/2001/XMLSchema" xmlns:p="http://schemas.microsoft.com/office/2006/metadata/properties" xmlns:ns2="5403ad1f-df80-4cbd-8de6-c657b0b5a0a9" xmlns:ns3="c2544294-4995-4579-9a93-accf8287ab7a" targetNamespace="http://schemas.microsoft.com/office/2006/metadata/properties" ma:root="true" ma:fieldsID="4698f65bbd5c5bf9413ff35ab9de9dc1" ns2:_="" ns3:_="">
    <xsd:import namespace="5403ad1f-df80-4cbd-8de6-c657b0b5a0a9"/>
    <xsd:import namespace="c2544294-4995-4579-9a93-accf8287ab7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03ad1f-df80-4cbd-8de6-c657b0b5a0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Location" ma:index="12" nillable="true" ma:displayName="Location" ma:indexed="true"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5806876e-c704-4f4c-bb78-5a27b750edf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2544294-4995-4579-9a93-accf8287ab7a"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15cf9a43-008d-498c-baad-af273b58690b}" ma:internalName="TaxCatchAll" ma:showField="CatchAllData" ma:web="c2544294-4995-4579-9a93-accf8287ab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2544294-4995-4579-9a93-accf8287ab7a" xsi:nil="true"/>
    <lcf76f155ced4ddcb4097134ff3c332f xmlns="5403ad1f-df80-4cbd-8de6-c657b0b5a0a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0F4E35C-149F-43BE-A837-31A2B21072D6}">
  <ds:schemaRefs>
    <ds:schemaRef ds:uri="http://schemas.microsoft.com/sharepoint/v3/contenttype/forms"/>
  </ds:schemaRefs>
</ds:datastoreItem>
</file>

<file path=customXml/itemProps2.xml><?xml version="1.0" encoding="utf-8"?>
<ds:datastoreItem xmlns:ds="http://schemas.openxmlformats.org/officeDocument/2006/customXml" ds:itemID="{444387E3-2CAD-46C4-A90E-A9CB45A7BB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03ad1f-df80-4cbd-8de6-c657b0b5a0a9"/>
    <ds:schemaRef ds:uri="c2544294-4995-4579-9a93-accf8287ab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0156C1E-051E-4EA6-9DFB-FB56A877912F}">
  <ds:schemaRefs>
    <ds:schemaRef ds:uri="http://schemas.microsoft.com/office/2006/metadata/properties"/>
    <ds:schemaRef ds:uri="http://schemas.microsoft.com/office/infopath/2007/PartnerControls"/>
    <ds:schemaRef ds:uri="c2544294-4995-4579-9a93-accf8287ab7a"/>
    <ds:schemaRef ds:uri="5403ad1f-df80-4cbd-8de6-c657b0b5a0a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README</vt:lpstr>
      <vt:lpstr>License</vt:lpstr>
      <vt:lpstr>P&amp;L</vt:lpstr>
      <vt:lpstr>Cashflow</vt:lpstr>
      <vt:lpstr>Sell</vt:lpstr>
      <vt:lpstr>Valuation</vt:lpstr>
      <vt:lpstr>Cashflow!Print_Area</vt:lpstr>
      <vt:lpstr>'P&amp;L'!Print_Area</vt:lpstr>
      <vt:lpstr>Sell!Print_Area</vt:lpstr>
    </vt:vector>
  </TitlesOfParts>
  <Company>Motion Media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Evan</dc:creator>
  <cp:lastModifiedBy>Evan Maindonald</cp:lastModifiedBy>
  <cp:lastPrinted>2019-02-12T16:09:32Z</cp:lastPrinted>
  <dcterms:created xsi:type="dcterms:W3CDTF">2002-07-18T10:34:10Z</dcterms:created>
  <dcterms:modified xsi:type="dcterms:W3CDTF">2024-11-19T21:41:04Z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0x0101000679A044979E2B42A0FF3B73BD00A1E8</vt:lpwstr>
  </property>
  <property fmtid="{D5CDD505-2E9C-101B-9397-08002B2CF9AE}" pid="3" name="MediaServiceImageTags">
    <vt:lpwstr/>
  </property>
</Properties>
</file>