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heckCompatibility="1" defaultThemeVersion="124226"/>
  <mc:AlternateContent xmlns:mc="http://schemas.openxmlformats.org/markup-compatibility/2006">
    <mc:Choice Requires="x15">
      <x15ac:absPath xmlns:x15ac="http://schemas.microsoft.com/office/spreadsheetml/2010/11/ac" url="E:\Books\Breaking New Ground\Resources\"/>
    </mc:Choice>
  </mc:AlternateContent>
  <xr:revisionPtr revIDLastSave="0" documentId="13_ncr:1_{05D9DFB9-841D-4FCA-982C-430E859298CA}" xr6:coauthVersionLast="47" xr6:coauthVersionMax="47" xr10:uidLastSave="{00000000-0000-0000-0000-000000000000}"/>
  <bookViews>
    <workbookView xWindow="1350" yWindow="1185" windowWidth="26250" windowHeight="15405" xr2:uid="{44A71009-D2E3-4534-AD56-A0B68DE424CC}"/>
  </bookViews>
  <sheets>
    <sheet name="README" sheetId="14" r:id="rId1"/>
    <sheet name="License" sheetId="15" r:id="rId2"/>
    <sheet name="Sell" sheetId="12" r:id="rId3"/>
    <sheet name="P&amp;L" sheetId="8" r:id="rId4"/>
    <sheet name="Valuation" sheetId="13" r:id="rId5"/>
  </sheets>
  <definedNames>
    <definedName name="_xlnm._FilterDatabase" localSheetId="2" hidden="1">Sell!$A$2:$G$21</definedName>
    <definedName name="_xlnm.Print_Area" localSheetId="3">'P&amp;L'!$A$1:$H$47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8" l="1"/>
  <c r="D60" i="8"/>
  <c r="E38" i="12"/>
  <c r="D19" i="12" l="1"/>
  <c r="E19" i="12" s="1"/>
  <c r="I21" i="12"/>
  <c r="H23" i="12"/>
  <c r="H4" i="12"/>
  <c r="H5" i="12"/>
  <c r="H12" i="12"/>
  <c r="H13" i="12"/>
  <c r="H14" i="12"/>
  <c r="H15" i="12"/>
  <c r="H16" i="12"/>
  <c r="H17" i="12"/>
  <c r="H18" i="12"/>
  <c r="H3" i="12"/>
  <c r="A4" i="12"/>
  <c r="A5" i="12"/>
  <c r="A6" i="12"/>
  <c r="A7" i="12"/>
  <c r="A8" i="12"/>
  <c r="A9" i="12"/>
  <c r="A10" i="12"/>
  <c r="A11" i="12"/>
  <c r="A12" i="12"/>
  <c r="A13" i="12"/>
  <c r="A14" i="12"/>
  <c r="A15" i="12"/>
  <c r="A16" i="12"/>
  <c r="A17" i="12"/>
  <c r="A18" i="12"/>
  <c r="E8" i="12"/>
  <c r="H8" i="12" s="1"/>
  <c r="G8" i="12"/>
  <c r="E7" i="12"/>
  <c r="H7" i="12" s="1"/>
  <c r="G7" i="12"/>
  <c r="E6" i="12"/>
  <c r="B29" i="12" s="1"/>
  <c r="D29" i="12" s="1"/>
  <c r="G6" i="12"/>
  <c r="E5" i="12"/>
  <c r="G5" i="12"/>
  <c r="E4" i="12"/>
  <c r="G4" i="12"/>
  <c r="E3" i="12"/>
  <c r="G3" i="12"/>
  <c r="E14" i="12"/>
  <c r="G14" i="12"/>
  <c r="E13" i="12"/>
  <c r="G13" i="12"/>
  <c r="E12" i="12"/>
  <c r="G12" i="12"/>
  <c r="E11" i="12"/>
  <c r="H11" i="12" s="1"/>
  <c r="G11" i="12"/>
  <c r="E10" i="12"/>
  <c r="H10" i="12" s="1"/>
  <c r="G10" i="12"/>
  <c r="E9" i="12"/>
  <c r="H9" i="12" s="1"/>
  <c r="G9" i="12"/>
  <c r="E18" i="12"/>
  <c r="D31" i="8"/>
  <c r="D11" i="8" s="1"/>
  <c r="D39" i="8"/>
  <c r="D37" i="8" s="1"/>
  <c r="D9" i="8"/>
  <c r="E15" i="12"/>
  <c r="G15" i="12"/>
  <c r="E16" i="12"/>
  <c r="G16" i="12"/>
  <c r="E17" i="12"/>
  <c r="G17" i="12"/>
  <c r="D21" i="12"/>
  <c r="D9" i="13"/>
  <c r="D31" i="12"/>
  <c r="G18" i="12"/>
  <c r="H9" i="8" l="1"/>
  <c r="D34" i="8" s="1"/>
  <c r="D38" i="8"/>
  <c r="D59" i="8" s="1"/>
  <c r="C59" i="8" s="1"/>
  <c r="E21" i="12"/>
  <c r="B30" i="12"/>
  <c r="D30" i="12" s="1"/>
  <c r="D32" i="12" s="1"/>
  <c r="H6" i="12"/>
  <c r="H21" i="12" s="1"/>
  <c r="F21" i="12" l="1"/>
  <c r="H25" i="12"/>
  <c r="E30" i="12"/>
  <c r="D34" i="12"/>
  <c r="D22" i="8" l="1"/>
  <c r="D4" i="13"/>
  <c r="D6" i="13"/>
  <c r="D5" i="8"/>
  <c r="C34" i="12"/>
  <c r="E4" i="13" l="1"/>
  <c r="D11" i="13"/>
  <c r="D15" i="13"/>
  <c r="E5" i="8"/>
  <c r="D8" i="8"/>
  <c r="D14" i="8"/>
  <c r="H8" i="8"/>
  <c r="D10" i="13"/>
  <c r="E6" i="13"/>
  <c r="D8" i="13"/>
  <c r="H8" i="13" s="1"/>
  <c r="D12" i="13"/>
  <c r="E22" i="8"/>
  <c r="D10" i="8"/>
  <c r="H11" i="8" s="1"/>
  <c r="D13" i="8"/>
  <c r="H12" i="8" s="1"/>
  <c r="D14" i="13" l="1"/>
  <c r="D32" i="8"/>
  <c r="I8" i="8"/>
  <c r="D12" i="8" l="1"/>
  <c r="D16" i="13"/>
  <c r="D17" i="13" s="1"/>
  <c r="E14" i="13"/>
  <c r="D18" i="13" l="1"/>
  <c r="D19" i="13" s="1"/>
  <c r="D58" i="8"/>
  <c r="H10" i="8"/>
  <c r="D16" i="8"/>
  <c r="I12" i="8" l="1"/>
  <c r="D33" i="8"/>
  <c r="D35" i="8" s="1"/>
  <c r="H14" i="8"/>
  <c r="D20" i="8"/>
  <c r="D23" i="8" s="1"/>
  <c r="D26" i="8"/>
  <c r="D29" i="8" s="1"/>
  <c r="D51" i="8" s="1"/>
  <c r="C58" i="8"/>
  <c r="H9" i="13"/>
  <c r="H10" i="13" s="1"/>
  <c r="D24" i="13"/>
  <c r="D25" i="13" s="1"/>
  <c r="C60" i="8" l="1"/>
  <c r="C24" i="8"/>
  <c r="C23" i="8"/>
  <c r="D43" i="8"/>
  <c r="D36" i="8"/>
  <c r="D45" i="8" s="1"/>
  <c r="D47" i="8"/>
  <c r="D48" i="8"/>
  <c r="D44" i="8"/>
  <c r="D49" i="8"/>
  <c r="D40" i="8"/>
  <c r="D41" i="8" s="1"/>
</calcChain>
</file>

<file path=xl/sharedStrings.xml><?xml version="1.0" encoding="utf-8"?>
<sst xmlns="http://schemas.openxmlformats.org/spreadsheetml/2006/main" count="190" uniqueCount="155">
  <si>
    <t>Total</t>
  </si>
  <si>
    <t>Total Development end sale value</t>
  </si>
  <si>
    <t>Development costs</t>
  </si>
  <si>
    <t>Interest on build cost</t>
  </si>
  <si>
    <t>Gross Development cost</t>
  </si>
  <si>
    <t>PSF</t>
  </si>
  <si>
    <t>Interest on site</t>
  </si>
  <si>
    <t>£</t>
  </si>
  <si>
    <t xml:space="preserve">Professional Fees </t>
  </si>
  <si>
    <t>Months</t>
  </si>
  <si>
    <t>Sales fee (Agent and legal)</t>
  </si>
  <si>
    <t>Developers Contingency</t>
  </si>
  <si>
    <t>Sq ft</t>
  </si>
  <si>
    <t>Price</t>
  </si>
  <si>
    <t>Costs</t>
  </si>
  <si>
    <t>Notes</t>
  </si>
  <si>
    <t>Beds</t>
  </si>
  <si>
    <t>psf</t>
  </si>
  <si>
    <t>Floor</t>
  </si>
  <si>
    <t>Flat</t>
  </si>
  <si>
    <t>Sq m</t>
  </si>
  <si>
    <t>psm</t>
  </si>
  <si>
    <t>Ground Rent</t>
  </si>
  <si>
    <t>Circulation</t>
  </si>
  <si>
    <t>Common Areas</t>
  </si>
  <si>
    <t>Profit</t>
  </si>
  <si>
    <t>Site acquisition price</t>
  </si>
  <si>
    <t>Stamp duty and acquisition fees</t>
  </si>
  <si>
    <t>Site LTV</t>
  </si>
  <si>
    <t>Works LTV</t>
  </si>
  <si>
    <t>Resi New Build</t>
  </si>
  <si>
    <t>Works</t>
  </si>
  <si>
    <t>Other Costs</t>
  </si>
  <si>
    <t>Developers profit</t>
  </si>
  <si>
    <t>Residual Value</t>
  </si>
  <si>
    <t>Less stamp duty and acquisition fees</t>
  </si>
  <si>
    <t>Site Value</t>
  </si>
  <si>
    <t>Total loan on completion</t>
  </si>
  <si>
    <t>LTV</t>
  </si>
  <si>
    <t>2nd</t>
  </si>
  <si>
    <t>1st</t>
  </si>
  <si>
    <t>Fees out</t>
  </si>
  <si>
    <t>Senior debt - Site</t>
  </si>
  <si>
    <t>Senior debt - Works</t>
  </si>
  <si>
    <t>Senior debt - Total</t>
  </si>
  <si>
    <t>Total Works</t>
  </si>
  <si>
    <t>Loan to GDV on completion</t>
  </si>
  <si>
    <t>Project Management</t>
  </si>
  <si>
    <t>Senior Debt arrangement fee</t>
  </si>
  <si>
    <t>Total Purchase costs</t>
  </si>
  <si>
    <t>of Facility</t>
  </si>
  <si>
    <t>Checksum</t>
  </si>
  <si>
    <t>Fees Out</t>
  </si>
  <si>
    <t>Interest</t>
  </si>
  <si>
    <t>Sales Fee</t>
  </si>
  <si>
    <t>Senior debt - Interest</t>
  </si>
  <si>
    <t>Detailed Breakdown</t>
  </si>
  <si>
    <t>Summary</t>
  </si>
  <si>
    <t>Capital Structure</t>
  </si>
  <si>
    <t>Funding - Total (Incl Equity)</t>
  </si>
  <si>
    <t>Total funding required</t>
  </si>
  <si>
    <t xml:space="preserve"> Sales Agent fee and Exit fees paid on/post sales</t>
  </si>
  <si>
    <t>Comparables</t>
  </si>
  <si>
    <t>Check figure</t>
  </si>
  <si>
    <t>Other purchase costs</t>
  </si>
  <si>
    <t>Ground rents</t>
  </si>
  <si>
    <t>Gross Development Value</t>
  </si>
  <si>
    <t>Total Resi</t>
  </si>
  <si>
    <t>of GDV</t>
  </si>
  <si>
    <t>Ground</t>
  </si>
  <si>
    <t>Communal</t>
  </si>
  <si>
    <t>Site Valuation</t>
  </si>
  <si>
    <t>Profit on Sales</t>
  </si>
  <si>
    <t>Profit on Costs</t>
  </si>
  <si>
    <t>Senior debt - Excluding Interest and Fees</t>
  </si>
  <si>
    <t>Loan to GDV excluding interest and fees</t>
  </si>
  <si>
    <t>Estimated Legal Fees</t>
  </si>
  <si>
    <t>Mezzanine</t>
  </si>
  <si>
    <t>Senior</t>
  </si>
  <si>
    <t>Loan to Cost</t>
  </si>
  <si>
    <t>Equity</t>
  </si>
  <si>
    <t>Loan to GDV incl Mezzanine</t>
  </si>
  <si>
    <t>Mezzanine - interest</t>
  </si>
  <si>
    <t>CIL</t>
  </si>
  <si>
    <t>Mezzanine - setup fee</t>
  </si>
  <si>
    <t>Mezzanine - Exit fee</t>
  </si>
  <si>
    <t>of loan amount on repayment. Assume includes interest accrued at that point ?</t>
  </si>
  <si>
    <t>Net Cash released on completion and sale of development</t>
  </si>
  <si>
    <t>Developer Equity to Cost</t>
  </si>
  <si>
    <t>Crudely adjusted for Cashflow. Appraisal assumes no sales until facility ends.</t>
  </si>
  <si>
    <t>Loan to Cost incl Mezzanine &amp; Interest</t>
  </si>
  <si>
    <t>Assumption is that we also cover CIL ourselves, meaning further £50K needed here (in July approx)</t>
  </si>
  <si>
    <t>Finance Costs - senior debt</t>
  </si>
  <si>
    <t>Total Finance Costs</t>
  </si>
  <si>
    <t>Finance Costs - Mezzanine</t>
  </si>
  <si>
    <t>Loan to GDV incl Mezz, interest and fees</t>
  </si>
  <si>
    <t>4th</t>
  </si>
  <si>
    <t>Basement and External works</t>
  </si>
  <si>
    <t>Copyright &amp; Contact</t>
  </si>
  <si>
    <t>License</t>
  </si>
  <si>
    <t>Goal</t>
  </si>
  <si>
    <t>Copy to Google Sheets or Download to Excel</t>
  </si>
  <si>
    <t>Support</t>
  </si>
  <si>
    <t>Missing a feature you need?</t>
  </si>
  <si>
    <t>Quickstart</t>
  </si>
  <si>
    <t>README</t>
  </si>
  <si>
    <t>Contact into, overview on model. Safe to delete or hide.</t>
  </si>
  <si>
    <t xml:space="preserve">This was created by Evan Maindonald © 2024, Hyperlight Management Limited, Any questions, contact Evan@Hyperlight.Ventures
</t>
  </si>
  <si>
    <r>
      <t xml:space="preserve">tl:dr; You can modify, edit, use, and share within your company (and with third-parties as needed to operate your business). You may not redistribute, resell, give away to others. </t>
    </r>
    <r>
      <rPr>
        <u/>
        <sz val="10"/>
        <color rgb="FF1155CC"/>
        <rFont val="Arial"/>
        <family val="2"/>
      </rPr>
      <t xml:space="preserve">
</t>
    </r>
  </si>
  <si>
    <t>This is a simplified model for forecasting appraising a development site, to help understand how valuation and site apprasal works. I've appraised countless sites building complicated models for appraisal and valuation. This is a simple model for initial appraisal and evaluation of development opportunties.</t>
  </si>
  <si>
    <r>
      <t>File &gt; Make a Copy to copy it to your own Google Drive, or File &gt; Download to download this to use in Excel or other spreadsheet programs.</t>
    </r>
    <r>
      <rPr>
        <sz val="10"/>
        <color rgb="FF1155CC"/>
        <rFont val="Arial"/>
        <family val="2"/>
      </rPr>
      <t xml:space="preserve">
</t>
    </r>
  </si>
  <si>
    <r>
      <t>No support provided in free licence version. For monthly subscription and support options, email Evan@Hyperlight.Ventures</t>
    </r>
    <r>
      <rPr>
        <sz val="10"/>
        <color rgb="FF1155CC"/>
        <rFont val="Arial"/>
        <family val="2"/>
      </rPr>
      <t xml:space="preserve">
</t>
    </r>
  </si>
  <si>
    <t xml:space="preserve">Check out the resources on my website for other appraisal models.
</t>
  </si>
  <si>
    <t>External Space</t>
  </si>
  <si>
    <t>Comparable 1</t>
  </si>
  <si>
    <t>Cells highlighted in yellow are the ones you can/should change. Unless you know exactly what you’re doing, leave the other cells to calculate themselves so as not to break the model.</t>
  </si>
  <si>
    <t>Developer</t>
  </si>
  <si>
    <t>Estimated Red Book Value</t>
  </si>
  <si>
    <t>License Agreement</t>
  </si>
  <si>
    <t>Available on website</t>
  </si>
  <si>
    <t>You agree as follows:</t>
  </si>
  <si>
    <t>1. Scope of use</t>
  </si>
  <si>
    <t>* Use and incorporate the Product and/or Service in personal and commercial projects for your company including financial models, business plans, pitch decks, etc.</t>
  </si>
  <si>
    <t>* You may modify the Product and/or Service to better serve your project.</t>
  </si>
  <si>
    <t>* You are granted unlimited usage of the Product and/or Service purchased in your organization.</t>
  </si>
  <si>
    <t>* If an organization is the licensee, all employees of the organization may use the same license.</t>
  </si>
  <si>
    <t>2. Limitations and non-use</t>
  </si>
  <si>
    <t>* You may not redistribute, sublicense or resell the Product and/or Service.</t>
  </si>
  <si>
    <t>* You may not distribute, license or sell derivative, recompiled, reverse engineered, or modified versions of the Product and/or Service.</t>
  </si>
  <si>
    <t>* You may not use the Product and/or Service as in projects for other organizations.</t>
  </si>
  <si>
    <t>* If your customers would like to use the Product and/or Service as a part of their own product, you must obtain a separate license for each client.</t>
  </si>
  <si>
    <t>* The Product and/or Service is provided “as is” without a warranty of any kind, either expressed or implied.</t>
  </si>
  <si>
    <t>* The Company owns all right, title, intellectual property, and interest in the Product and/or Service.</t>
  </si>
  <si>
    <t>* The design, text, graphics, selection and arrangement in the Product and/or Service are the copyright © of the Company, all rights reserved.</t>
  </si>
  <si>
    <t>The Company’s liability to you for costs, damages, or other losses arising from your use of the Product and/or Service — including third-party claims against you — is limited to a refund of your license fee of the Product and/or the fees paid in the 12 months preceding the Service in question. The Company may not be held liable for any consequential damages related to your use of the Product and/orService. We are not financial advisors, planners, brokers, or tax advisors, and the Company, Product, and Service are not intended to provide legal, tax, or financial advice. Your financial situation is unique, and any information and advice obtained through the Product and/or Service may not be appropriate for your situation. Accordingly, before making any final decisions or implementing any financial strategy, you should consider obtaining additional information and advice from your accountant or other financial advisers who are fully aware of your individual situation.</t>
  </si>
  <si>
    <t>TO THE FULLEST EXTENT PERMITTED BY LAW, WE AND OUR AFFILIATES, SUPPLIERS AND DISTRIBUTORS MAKE NO WARRANTIES, EITHER EXPRESS OR IMPLIED, ABOUT THE PRODUCTS AND SERVICES. THE PRODUCTS AND SERVICES ARE PROVIDED "AS IS." WE ALSO DISCLAIM ANY WARRANTIES OF MERCHANTABILITY, FITNESS FOR A PARTICULAR PURPOSE AND NON-INFRINGEMENT.  INFORMATION AND OPINIONS RECEIVED VIA THE PRODUCT, SERVICE, AND WEBSITE SHOULD NOT BE RELIED UPON FOR PERSONAL, MEDICAL, LEGAL OR FINANCIAL DECISIONS AND YOU SHOULD CONSULT AN APPROPRIATE PROFESSIONAL FOR SPECIFIC ADVICE TAILORED TO YOUR SITUATION.</t>
  </si>
  <si>
    <t>TO THE FULLEST EXTENT PERMITTED BY LAW, IN NO EVENT WILL WE, OUR AFFILIATES, SUPPLIERS OR DISTRIBUTORS BE LIABLE FOR ANY INDIRECT, SPECIAL, INCIDENTAL, PUNITIVE, EXEMPLARY OR CONSEQUENTIAL DAMAGES OR ANY LOSS OF USE, DATA, BUSINESS, OR PROFITS, REGARDLESS OF LEGAL THEORY, WHETHER OR NOT WE HAVE BEEN WARNED OF THE POSSIBILITY OF SUCH DAMAGES, AND EVEN IF A REMEDY FAILS OF ITS ESSENTIAL PURPOSE.</t>
  </si>
  <si>
    <t>This License Agreement (“the Agreement”) between you, the licensee, and Hyperlight Management Limited (the “Company”) a limited company  headquartered and registered in the United Kingdom. The Company owns the financial model (the “Product”) and any edits, additions, or customizations (the "Service") delivered under this Agreement. This Agreement grants you a non-exclusive, non-transferable right to use and incorporate the Product and Service in personal and corporate projects for the organization that purchased the Product and/or Service.</t>
  </si>
  <si>
    <t>This Agreement is governed by the laws of the United Kingdom. Legal proceedings related to this Agreement may only be brought in the courts of the United Kingdom. You agree to service of process at the e-mail address on your original order. Notices may be sent to Hyperlight Management Limited by email to Evan@Hyperlight.Ventures or by post to Hyperlight Management Limited, 27 Old Gloucester St, London, UK, WC1N 3AX.</t>
  </si>
  <si>
    <t xml:space="preserve">Input assumptions on in the yellow cells, profitability in the P&amp;L Sheet, Site Valuation in the Valuation spreadsheet.
</t>
  </si>
  <si>
    <t>Terms of use of the model - License</t>
  </si>
  <si>
    <t>Sell</t>
  </si>
  <si>
    <t>Input Sales Values and Comparables here</t>
  </si>
  <si>
    <t>P&amp;L</t>
  </si>
  <si>
    <t>Sheets</t>
  </si>
  <si>
    <t>Formatting and Colours</t>
  </si>
  <si>
    <t>Projects profit on the project</t>
  </si>
  <si>
    <t>Valuation</t>
  </si>
  <si>
    <t>Simulates RICS Red Book Valuation</t>
  </si>
  <si>
    <t>Original cost of purchase</t>
  </si>
  <si>
    <t>Delete if already acquired</t>
  </si>
  <si>
    <t>Manually adjust this to a figure slighly under the Site Value figure above, rounded down to the nearest round figure</t>
  </si>
  <si>
    <t>Could be higher than the cost due to Value Enhancement</t>
  </si>
  <si>
    <t>Developer's profit figure depends on site location and other factors. See Breaking New Ground for guidance.</t>
  </si>
  <si>
    <t>Appraisal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</si>
</sst>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quot;£&quot;* #,##0.00_-;_-&quot;£&quot;* &quot;-&quot;??_-;_-@_-"/>
    <numFmt numFmtId="43" formatCode="_-* #,##0.00_-;\-* #,##0.00_-;_-* &quot;-&quot;??_-;_-@_-"/>
    <numFmt numFmtId="164" formatCode="_-&quot;£&quot;* #,##0_-;\-&quot;£&quot;* #,##0_-;_-&quot;£&quot;* &quot;-&quot;??_-;_-@_-"/>
    <numFmt numFmtId="165" formatCode="_-* #,##0.0_-;\-* #,##0.0_-;_-* &quot;-&quot;??_-;_-@_-"/>
    <numFmt numFmtId="166" formatCode="_-* #,##0_-;\-* #,##0_-;_-* &quot;-&quot;??_-;_-@_-"/>
    <numFmt numFmtId="167" formatCode="0.0%"/>
  </numFmts>
  <fonts count="17">
    <font>
      <sz val="10"/>
      <name val="Arial"/>
    </font>
    <font>
      <sz val="10"/>
      <name val="Arial"/>
      <family val="2"/>
    </font>
    <font>
      <b/>
      <sz val="10"/>
      <name val="Arial"/>
      <family val="2"/>
    </font>
    <font>
      <sz val="10"/>
      <name val="Arial"/>
      <family val="2"/>
    </font>
    <font>
      <b/>
      <u/>
      <sz val="10"/>
      <name val="Arial"/>
      <family val="2"/>
    </font>
    <font>
      <sz val="10"/>
      <name val="Arial"/>
      <family val="2"/>
    </font>
    <font>
      <sz val="11"/>
      <color theme="1"/>
      <name val="Calibri"/>
      <family val="2"/>
      <scheme val="minor"/>
    </font>
    <font>
      <sz val="10"/>
      <color theme="1"/>
      <name val="Arial"/>
      <family val="2"/>
    </font>
    <font>
      <sz val="10"/>
      <color rgb="FF000000"/>
      <name val="Arial"/>
      <family val="2"/>
    </font>
    <font>
      <u/>
      <sz val="10"/>
      <color rgb="FF1155CC"/>
      <name val="Arial"/>
      <family val="2"/>
    </font>
    <font>
      <sz val="10"/>
      <color rgb="FF1155CC"/>
      <name val="Arial"/>
      <family val="2"/>
    </font>
    <font>
      <b/>
      <sz val="14"/>
      <color theme="1"/>
      <name val="Calibri"/>
      <family val="2"/>
      <scheme val="minor"/>
    </font>
    <font>
      <i/>
      <sz val="10"/>
      <color rgb="FF000000"/>
      <name val="&quot;Avenir Book&quot;"/>
    </font>
    <font>
      <sz val="10"/>
      <color rgb="FF000000"/>
      <name val="&quot;Avenir Book&quot;"/>
    </font>
    <font>
      <b/>
      <sz val="14"/>
      <color theme="1"/>
      <name val="Arial"/>
      <family val="2"/>
    </font>
    <font>
      <b/>
      <sz val="10"/>
      <color theme="1"/>
      <name val="Arial"/>
      <family val="2"/>
    </font>
    <font>
      <b/>
      <sz val="12"/>
      <color theme="1"/>
      <name val="Arial"/>
      <family val="2"/>
    </font>
  </fonts>
  <fills count="4">
    <fill>
      <patternFill patternType="none"/>
    </fill>
    <fill>
      <patternFill patternType="gray125"/>
    </fill>
    <fill>
      <patternFill patternType="solid">
        <fgColor theme="4" tint="0.79998168889431442"/>
        <bgColor indexed="65"/>
      </patternFill>
    </fill>
    <fill>
      <patternFill patternType="solid">
        <fgColor rgb="FFFFFF00"/>
        <bgColor indexed="64"/>
      </patternFill>
    </fill>
  </fills>
  <borders count="1">
    <border>
      <left/>
      <right/>
      <top/>
      <bottom/>
      <diagonal/>
    </border>
  </borders>
  <cellStyleXfs count="8">
    <xf numFmtId="0" fontId="0" fillId="0" borderId="0"/>
    <xf numFmtId="0" fontId="6" fillId="2" borderId="0" applyNumberFormat="0" applyBorder="0" applyAlignment="0" applyProtection="0"/>
    <xf numFmtId="43" fontId="1"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cellStyleXfs>
  <cellXfs count="99">
    <xf numFmtId="0" fontId="0" fillId="0" borderId="0" xfId="0"/>
    <xf numFmtId="0" fontId="2" fillId="0" borderId="0" xfId="0" applyFont="1"/>
    <xf numFmtId="164" fontId="2" fillId="0" borderId="0" xfId="4" applyNumberFormat="1" applyFont="1"/>
    <xf numFmtId="164" fontId="0" fillId="0" borderId="0" xfId="4" applyNumberFormat="1" applyFont="1"/>
    <xf numFmtId="10" fontId="0" fillId="0" borderId="0" xfId="0" applyNumberFormat="1"/>
    <xf numFmtId="0" fontId="3" fillId="0" borderId="0" xfId="0" applyFont="1"/>
    <xf numFmtId="0" fontId="2" fillId="0" borderId="0" xfId="0" applyFont="1" applyAlignment="1">
      <alignment horizontal="center"/>
    </xf>
    <xf numFmtId="0" fontId="0" fillId="0" borderId="0" xfId="0" applyAlignment="1">
      <alignment horizontal="center"/>
    </xf>
    <xf numFmtId="164" fontId="2" fillId="0" borderId="0" xfId="0" applyNumberFormat="1" applyFont="1" applyAlignment="1">
      <alignment horizontal="center"/>
    </xf>
    <xf numFmtId="164" fontId="1" fillId="0" borderId="0" xfId="4" applyNumberFormat="1" applyAlignment="1">
      <alignment horizontal="center"/>
    </xf>
    <xf numFmtId="166" fontId="2" fillId="0" borderId="0" xfId="0" applyNumberFormat="1" applyFont="1"/>
    <xf numFmtId="9" fontId="0" fillId="0" borderId="0" xfId="0" applyNumberFormat="1"/>
    <xf numFmtId="9" fontId="2" fillId="0" borderId="0" xfId="0" applyNumberFormat="1" applyFont="1"/>
    <xf numFmtId="167" fontId="2" fillId="0" borderId="0" xfId="0" applyNumberFormat="1" applyFont="1"/>
    <xf numFmtId="166" fontId="0" fillId="0" borderId="0" xfId="0" applyNumberFormat="1"/>
    <xf numFmtId="0" fontId="0" fillId="0" borderId="0" xfId="0" applyAlignment="1">
      <alignment horizontal="left"/>
    </xf>
    <xf numFmtId="43" fontId="0" fillId="0" borderId="0" xfId="0" applyNumberFormat="1"/>
    <xf numFmtId="164" fontId="3" fillId="0" borderId="0" xfId="4" applyNumberFormat="1" applyFont="1"/>
    <xf numFmtId="166" fontId="3" fillId="0" borderId="0" xfId="0" applyNumberFormat="1" applyFont="1"/>
    <xf numFmtId="164" fontId="0" fillId="0" borderId="0" xfId="0" applyNumberFormat="1"/>
    <xf numFmtId="0" fontId="2" fillId="0" borderId="0" xfId="0" applyFont="1" applyAlignment="1">
      <alignment horizontal="right"/>
    </xf>
    <xf numFmtId="164" fontId="2" fillId="0" borderId="0" xfId="0" applyNumberFormat="1" applyFont="1"/>
    <xf numFmtId="43" fontId="2" fillId="0" borderId="0" xfId="0" applyNumberFormat="1" applyFont="1"/>
    <xf numFmtId="44" fontId="2" fillId="0" borderId="0" xfId="4" applyFont="1"/>
    <xf numFmtId="166" fontId="2" fillId="0" borderId="0" xfId="2" applyNumberFormat="1" applyFont="1"/>
    <xf numFmtId="166" fontId="0" fillId="0" borderId="0" xfId="2" applyNumberFormat="1" applyFont="1"/>
    <xf numFmtId="43" fontId="3" fillId="0" borderId="0" xfId="0" applyNumberFormat="1" applyFont="1"/>
    <xf numFmtId="166" fontId="3" fillId="0" borderId="0" xfId="2" applyNumberFormat="1" applyFont="1"/>
    <xf numFmtId="0" fontId="2" fillId="0" borderId="0" xfId="0" applyFont="1" applyAlignment="1">
      <alignment horizontal="left"/>
    </xf>
    <xf numFmtId="44" fontId="0" fillId="0" borderId="0" xfId="0" applyNumberFormat="1" applyAlignment="1">
      <alignment horizontal="center"/>
    </xf>
    <xf numFmtId="1" fontId="0" fillId="0" borderId="0" xfId="0" applyNumberFormat="1"/>
    <xf numFmtId="1" fontId="2" fillId="0" borderId="0" xfId="0" applyNumberFormat="1" applyFont="1"/>
    <xf numFmtId="9" fontId="0" fillId="0" borderId="0" xfId="6" applyFont="1"/>
    <xf numFmtId="43" fontId="3" fillId="0" borderId="0" xfId="2" applyFont="1" applyAlignment="1">
      <alignment horizontal="center"/>
    </xf>
    <xf numFmtId="0" fontId="4" fillId="0" borderId="0" xfId="0" applyFont="1" applyAlignment="1">
      <alignment horizontal="left"/>
    </xf>
    <xf numFmtId="43" fontId="0" fillId="0" borderId="0" xfId="0" applyNumberFormat="1" applyAlignment="1">
      <alignment horizontal="center"/>
    </xf>
    <xf numFmtId="164" fontId="2" fillId="0" borderId="0" xfId="5" applyNumberFormat="1" applyFont="1"/>
    <xf numFmtId="164" fontId="0" fillId="0" borderId="0" xfId="5" applyNumberFormat="1" applyFont="1"/>
    <xf numFmtId="164" fontId="3" fillId="0" borderId="0" xfId="5" applyNumberFormat="1" applyFont="1"/>
    <xf numFmtId="164" fontId="5" fillId="0" borderId="0" xfId="5" applyNumberFormat="1" applyAlignment="1">
      <alignment horizontal="center"/>
    </xf>
    <xf numFmtId="9" fontId="3" fillId="0" borderId="0" xfId="7" applyFont="1"/>
    <xf numFmtId="1" fontId="3" fillId="0" borderId="0" xfId="0" applyNumberFormat="1" applyFont="1" applyAlignment="1">
      <alignment horizontal="right"/>
    </xf>
    <xf numFmtId="43" fontId="5" fillId="0" borderId="0" xfId="3"/>
    <xf numFmtId="10" fontId="2" fillId="0" borderId="0" xfId="7" applyNumberFormat="1" applyFont="1"/>
    <xf numFmtId="9" fontId="5" fillId="0" borderId="0" xfId="3" applyNumberFormat="1"/>
    <xf numFmtId="10" fontId="0" fillId="0" borderId="0" xfId="7" applyNumberFormat="1" applyFont="1"/>
    <xf numFmtId="10" fontId="0" fillId="0" borderId="0" xfId="6" applyNumberFormat="1" applyFont="1"/>
    <xf numFmtId="44" fontId="0" fillId="0" borderId="0" xfId="0" applyNumberFormat="1"/>
    <xf numFmtId="44" fontId="3" fillId="0" borderId="0" xfId="4" applyFont="1"/>
    <xf numFmtId="44" fontId="2" fillId="0" borderId="0" xfId="5" applyFont="1"/>
    <xf numFmtId="167" fontId="3" fillId="0" borderId="0" xfId="0" applyNumberFormat="1" applyFont="1"/>
    <xf numFmtId="43" fontId="0" fillId="0" borderId="0" xfId="2" applyFont="1"/>
    <xf numFmtId="0" fontId="3" fillId="0" borderId="0" xfId="0" applyFont="1" applyAlignment="1">
      <alignment horizontal="left"/>
    </xf>
    <xf numFmtId="17" fontId="0" fillId="0" borderId="0" xfId="0" applyNumberFormat="1"/>
    <xf numFmtId="17" fontId="0" fillId="0" borderId="0" xfId="0" applyNumberFormat="1" applyAlignment="1">
      <alignment horizontal="right"/>
    </xf>
    <xf numFmtId="44" fontId="2" fillId="0" borderId="0" xfId="0" applyNumberFormat="1" applyFont="1"/>
    <xf numFmtId="17" fontId="3" fillId="0" borderId="0" xfId="0" applyNumberFormat="1" applyFont="1" applyAlignment="1">
      <alignment horizontal="right"/>
    </xf>
    <xf numFmtId="43" fontId="3" fillId="0" borderId="0" xfId="2" applyFont="1"/>
    <xf numFmtId="44" fontId="3" fillId="0" borderId="0" xfId="0" applyNumberFormat="1" applyFont="1"/>
    <xf numFmtId="0" fontId="3" fillId="0" borderId="0" xfId="0" applyFont="1" applyAlignment="1">
      <alignment horizontal="right"/>
    </xf>
    <xf numFmtId="166" fontId="2" fillId="0" borderId="0" xfId="2" applyNumberFormat="1" applyFont="1" applyAlignment="1">
      <alignment horizontal="right"/>
    </xf>
    <xf numFmtId="167" fontId="0" fillId="0" borderId="0" xfId="6" applyNumberFormat="1" applyFont="1"/>
    <xf numFmtId="164" fontId="2" fillId="0" borderId="0" xfId="0" applyNumberFormat="1" applyFont="1" applyAlignment="1">
      <alignment horizontal="right"/>
    </xf>
    <xf numFmtId="10" fontId="3" fillId="0" borderId="0" xfId="6" applyNumberFormat="1" applyFont="1"/>
    <xf numFmtId="164" fontId="3" fillId="0" borderId="0" xfId="0" applyNumberFormat="1" applyFont="1"/>
    <xf numFmtId="0" fontId="8" fillId="0" borderId="0" xfId="0" applyFont="1" applyAlignment="1">
      <alignment vertical="top" wrapText="1"/>
    </xf>
    <xf numFmtId="0" fontId="0" fillId="3" borderId="0" xfId="0" applyFill="1" applyAlignment="1">
      <alignment horizontal="left"/>
    </xf>
    <xf numFmtId="165" fontId="3" fillId="3" borderId="0" xfId="2" applyNumberFormat="1" applyFont="1" applyFill="1"/>
    <xf numFmtId="167" fontId="0" fillId="3" borderId="0" xfId="6" applyNumberFormat="1" applyFont="1" applyFill="1" applyAlignment="1">
      <alignment horizontal="right"/>
    </xf>
    <xf numFmtId="44" fontId="0" fillId="3" borderId="0" xfId="0" applyNumberFormat="1" applyFill="1" applyAlignment="1">
      <alignment horizontal="center"/>
    </xf>
    <xf numFmtId="166" fontId="0" fillId="3" borderId="0" xfId="2" applyNumberFormat="1" applyFont="1" applyFill="1"/>
    <xf numFmtId="165" fontId="0" fillId="3" borderId="0" xfId="2" applyNumberFormat="1" applyFont="1" applyFill="1"/>
    <xf numFmtId="0" fontId="0" fillId="3" borderId="0" xfId="0" applyFill="1"/>
    <xf numFmtId="9" fontId="3" fillId="3" borderId="0" xfId="0" applyNumberFormat="1" applyFont="1" applyFill="1" applyAlignment="1">
      <alignment horizontal="right"/>
    </xf>
    <xf numFmtId="0" fontId="3" fillId="3" borderId="0" xfId="0" applyFont="1" applyFill="1" applyAlignment="1">
      <alignment horizontal="left"/>
    </xf>
    <xf numFmtId="166" fontId="3" fillId="3" borderId="0" xfId="2" applyNumberFormat="1" applyFont="1" applyFill="1"/>
    <xf numFmtId="43" fontId="0" fillId="3" borderId="0" xfId="2" applyFont="1" applyFill="1"/>
    <xf numFmtId="167" fontId="0" fillId="3" borderId="0" xfId="6" applyNumberFormat="1" applyFont="1" applyFill="1"/>
    <xf numFmtId="9" fontId="3" fillId="3" borderId="0" xfId="6" applyFont="1" applyFill="1"/>
    <xf numFmtId="10" fontId="0" fillId="3" borderId="0" xfId="0" applyNumberFormat="1" applyFill="1"/>
    <xf numFmtId="167" fontId="3" fillId="3" borderId="0" xfId="0" applyNumberFormat="1" applyFont="1" applyFill="1"/>
    <xf numFmtId="10" fontId="3" fillId="3" borderId="0" xfId="0" applyNumberFormat="1" applyFont="1" applyFill="1"/>
    <xf numFmtId="167" fontId="0" fillId="3" borderId="0" xfId="0" applyNumberFormat="1" applyFill="1"/>
    <xf numFmtId="164" fontId="2" fillId="3" borderId="0" xfId="5" applyNumberFormat="1" applyFont="1" applyFill="1"/>
    <xf numFmtId="0" fontId="11" fillId="0" borderId="0" xfId="0" applyFont="1"/>
    <xf numFmtId="0" fontId="12" fillId="0" borderId="0" xfId="0" applyFont="1" applyAlignment="1">
      <alignment wrapText="1"/>
    </xf>
    <xf numFmtId="0" fontId="13" fillId="0" borderId="0" xfId="0" applyFont="1" applyAlignment="1">
      <alignment wrapText="1"/>
    </xf>
    <xf numFmtId="0" fontId="7" fillId="0" borderId="0" xfId="0" applyFont="1" applyAlignment="1">
      <alignment vertical="top" wrapText="1"/>
    </xf>
    <xf numFmtId="0" fontId="7" fillId="0" borderId="0" xfId="0" applyFont="1" applyAlignment="1">
      <alignment horizontal="right"/>
    </xf>
    <xf numFmtId="0" fontId="1" fillId="0" borderId="0" xfId="0" applyFont="1"/>
    <xf numFmtId="0" fontId="14" fillId="0" borderId="0" xfId="0" applyFont="1"/>
    <xf numFmtId="0" fontId="8" fillId="0" borderId="0" xfId="0" applyFont="1"/>
    <xf numFmtId="0" fontId="15" fillId="0" borderId="0" xfId="0" applyFont="1" applyAlignment="1">
      <alignment vertical="top" wrapText="1"/>
    </xf>
    <xf numFmtId="0" fontId="8" fillId="0" borderId="0" xfId="0" applyFont="1" applyAlignment="1">
      <alignment wrapText="1"/>
    </xf>
    <xf numFmtId="0" fontId="1" fillId="0" borderId="0" xfId="0" applyFont="1" applyAlignment="1">
      <alignment vertical="top" wrapText="1"/>
    </xf>
    <xf numFmtId="0" fontId="1" fillId="0" borderId="0" xfId="0" applyFont="1" applyAlignment="1">
      <alignment wrapText="1"/>
    </xf>
    <xf numFmtId="0" fontId="16" fillId="0" borderId="0" xfId="0" applyFont="1" applyAlignment="1">
      <alignment vertical="top" wrapText="1"/>
    </xf>
    <xf numFmtId="0" fontId="7" fillId="0" borderId="0" xfId="0" applyFont="1" applyAlignment="1">
      <alignment vertical="top"/>
    </xf>
    <xf numFmtId="0" fontId="7" fillId="2" borderId="0" xfId="1" applyFont="1" applyAlignment="1">
      <alignment vertical="top" wrapText="1"/>
    </xf>
  </cellXfs>
  <cellStyles count="8">
    <cellStyle name="20% - Accent1" xfId="1" builtinId="30"/>
    <cellStyle name="Comma" xfId="2" builtinId="3"/>
    <cellStyle name="Comma 2" xfId="3" xr:uid="{5FBEFD13-68C2-4101-BD3A-EECF71E4D217}"/>
    <cellStyle name="Currency" xfId="4" builtinId="4"/>
    <cellStyle name="Currency 2" xfId="5" xr:uid="{00364740-252D-4659-8D3E-41E0166229B3}"/>
    <cellStyle name="Normal" xfId="0" builtinId="0"/>
    <cellStyle name="Percent" xfId="6" builtinId="5"/>
    <cellStyle name="Percent 2" xfId="7" xr:uid="{B5C1A204-5EC7-43FC-9C3B-56CF49235983}"/>
  </cellStyles>
  <dxfs count="21">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ill>
        <patternFill patternType="solid">
          <fgColor rgb="FFDDF2F0"/>
          <bgColor rgb="FFDDF2F0"/>
        </patternFill>
      </fill>
    </dxf>
    <dxf>
      <fill>
        <patternFill patternType="solid">
          <fgColor rgb="FFFFFFFF"/>
          <bgColor rgb="FFFFFFFF"/>
        </patternFill>
      </fill>
    </dxf>
    <dxf>
      <fill>
        <patternFill patternType="solid">
          <fgColor rgb="FFDDF2F0"/>
          <bgColor rgb="FFDDF2F0"/>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s>
  <tableStyles count="2" defaultTableStyle="TableStyleMedium9" defaultPivotStyle="PivotStyleLight16">
    <tableStyle name="README-style" pivot="0" count="3" xr9:uid="{C5F06224-E302-4493-B847-1B77266049F4}">
      <tableStyleElement type="headerRow" dxfId="20"/>
      <tableStyleElement type="firstRowStripe" dxfId="19"/>
      <tableStyleElement type="secondRowStripe" dxfId="18"/>
    </tableStyle>
    <tableStyle name="README-style 2" pivot="0" count="3" xr9:uid="{52CDA183-F886-4335-B1D8-5286CD035F22}">
      <tableStyleElement type="headerRow" dxfId="17"/>
      <tableStyleElement type="firstRowStripe" dxfId="16"/>
      <tableStyleElement type="secondRowStripe"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6B7FB4-D47F-4BF9-B2F0-5AB975434F6E}" name="Table_1" displayName="Table_1" ref="B4:C11" headerRowDxfId="12" dataDxfId="10" totalsRowDxfId="11">
  <tableColumns count="2">
    <tableColumn id="1" xr3:uid="{591AF255-042D-4C1B-8C75-2055E03319EE}" name="Copyright &amp; Contact" dataDxfId="14"/>
    <tableColumn id="2" xr3:uid="{400F504E-5CCD-4F06-841B-1454189D0847}" name="This was created by Evan Maindonald © 2024, Hyperlight Management Limited, Any questions, contact Evan@Hyperlight.Ventures_x000a_" dataDxfId="13"/>
  </tableColumns>
  <tableStyleInfo name="README-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6EBC859-722E-42CF-A220-0FEADD25CAE3}" name="Table_2" displayName="Table_2" ref="B16:C17" headerRowDxfId="7" dataDxfId="5" totalsRowDxfId="6" headerRowCellStyle="20% - Accent1">
  <tableColumns count="2">
    <tableColumn id="1" xr3:uid="{9131F062-0275-4772-BFB1-A718A6AE6639}" name="README" dataDxfId="9"/>
    <tableColumn id="2" xr3:uid="{4C54115A-7D2F-4700-AC30-50D51B891613}" name="Contact into, overview on model. Safe to delete or hide." dataDxfId="8"/>
  </tableColumns>
  <tableStyleInfo name="README-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C732561-93CA-45FD-838C-43C9D71B3DE9}" name="Table_26" displayName="Table_26" ref="B18:C19" headerRowDxfId="2" dataDxfId="0" totalsRowDxfId="1" headerRowCellStyle="20% - Accent1">
  <tableColumns count="2">
    <tableColumn id="1" xr3:uid="{CA6D9D63-7ACA-4FC1-BFFB-441537890196}" name="Sell" dataDxfId="4"/>
    <tableColumn id="2" xr3:uid="{FAA64F61-21F4-4972-B3C8-05DC4F219CC7}" name="Input Sales Values and Comparables here" dataDxfId="3"/>
  </tableColumns>
  <tableStyleInfo name="README-style 2" showFirstColumn="1" showLastColumn="1"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5D736-B06D-4360-96DE-54ACAB9E8A0E}">
  <dimension ref="A1:C20"/>
  <sheetViews>
    <sheetView tabSelected="1" workbookViewId="0">
      <selection activeCell="C11" sqref="C11"/>
    </sheetView>
  </sheetViews>
  <sheetFormatPr defaultColWidth="12.5703125" defaultRowHeight="12.75"/>
  <cols>
    <col min="1" max="1" width="4.140625" style="89" customWidth="1"/>
    <col min="2" max="2" width="35.140625" style="89" customWidth="1"/>
    <col min="3" max="3" width="65.5703125" style="89" customWidth="1"/>
    <col min="4" max="5" width="22.7109375" style="89" customWidth="1"/>
    <col min="6" max="16384" width="12.5703125" style="89"/>
  </cols>
  <sheetData>
    <row r="1" spans="1:3">
      <c r="A1" s="88"/>
    </row>
    <row r="2" spans="1:3" ht="18">
      <c r="B2" s="90" t="s">
        <v>154</v>
      </c>
    </row>
    <row r="3" spans="1:3">
      <c r="B3" s="91"/>
    </row>
    <row r="4" spans="1:3" ht="38.25">
      <c r="B4" s="92" t="s">
        <v>98</v>
      </c>
      <c r="C4" s="93" t="s">
        <v>107</v>
      </c>
    </row>
    <row r="5" spans="1:3" ht="51">
      <c r="B5" s="92" t="s">
        <v>99</v>
      </c>
      <c r="C5" s="65" t="s">
        <v>108</v>
      </c>
    </row>
    <row r="6" spans="1:3" ht="63.75">
      <c r="B6" s="92" t="s">
        <v>100</v>
      </c>
      <c r="C6" s="94" t="s">
        <v>109</v>
      </c>
    </row>
    <row r="7" spans="1:3" ht="38.25">
      <c r="B7" s="92" t="s">
        <v>101</v>
      </c>
      <c r="C7" s="94" t="s">
        <v>110</v>
      </c>
    </row>
    <row r="8" spans="1:3" ht="38.25">
      <c r="B8" s="92" t="s">
        <v>102</v>
      </c>
      <c r="C8" s="95" t="s">
        <v>111</v>
      </c>
    </row>
    <row r="9" spans="1:3" ht="25.5">
      <c r="B9" s="92" t="s">
        <v>103</v>
      </c>
      <c r="C9" s="94" t="s">
        <v>112</v>
      </c>
    </row>
    <row r="10" spans="1:3" ht="35.25" customHeight="1">
      <c r="B10" s="92" t="s">
        <v>104</v>
      </c>
      <c r="C10" s="87" t="s">
        <v>139</v>
      </c>
    </row>
    <row r="11" spans="1:3" ht="38.25">
      <c r="B11" s="92" t="s">
        <v>145</v>
      </c>
      <c r="C11" s="87" t="s">
        <v>115</v>
      </c>
    </row>
    <row r="12" spans="1:3" ht="15.75">
      <c r="B12" s="96"/>
      <c r="C12" s="97"/>
    </row>
    <row r="13" spans="1:3" ht="15.75">
      <c r="B13" s="96"/>
      <c r="C13" s="97"/>
    </row>
    <row r="14" spans="1:3" ht="15.75">
      <c r="B14" s="96" t="s">
        <v>144</v>
      </c>
      <c r="C14" s="97"/>
    </row>
    <row r="15" spans="1:3">
      <c r="B15" s="65"/>
      <c r="C15" s="97"/>
    </row>
    <row r="16" spans="1:3">
      <c r="B16" s="98" t="s">
        <v>105</v>
      </c>
      <c r="C16" s="98" t="s">
        <v>106</v>
      </c>
    </row>
    <row r="17" spans="2:3">
      <c r="B17" s="87" t="s">
        <v>99</v>
      </c>
      <c r="C17" s="89" t="s">
        <v>140</v>
      </c>
    </row>
    <row r="18" spans="2:3">
      <c r="B18" s="98" t="s">
        <v>141</v>
      </c>
      <c r="C18" s="98" t="s">
        <v>142</v>
      </c>
    </row>
    <row r="19" spans="2:3">
      <c r="B19" s="87" t="s">
        <v>143</v>
      </c>
      <c r="C19" s="87" t="s">
        <v>146</v>
      </c>
    </row>
    <row r="20" spans="2:3">
      <c r="B20" s="98" t="s">
        <v>147</v>
      </c>
      <c r="C20" s="98" t="s">
        <v>148</v>
      </c>
    </row>
  </sheetData>
  <hyperlinks>
    <hyperlink ref="C5" location="License!A1" display="tl:dr; You can modify, edit, use, and share within your company (and with third-parties as needed to operate your business). You may not redistribute, resell, give away to others. Full license._x000a_" xr:uid="{BB170813-EFC5-45B2-B0E8-F3CD412CA513}"/>
  </hyperlinks>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28937-9B83-4EC4-BABC-294CE4CFB04D}">
  <dimension ref="A1:B29"/>
  <sheetViews>
    <sheetView workbookViewId="0">
      <selection activeCell="D14" sqref="D14"/>
    </sheetView>
  </sheetViews>
  <sheetFormatPr defaultColWidth="12.5703125" defaultRowHeight="12.75"/>
  <cols>
    <col min="1" max="1" width="2.85546875" customWidth="1"/>
    <col min="2" max="2" width="79.140625" customWidth="1"/>
  </cols>
  <sheetData>
    <row r="1" spans="1:2" ht="29.25" customHeight="1">
      <c r="A1" s="84"/>
      <c r="B1" s="84" t="s">
        <v>118</v>
      </c>
    </row>
    <row r="2" spans="1:2" ht="19.5" customHeight="1">
      <c r="A2" s="85"/>
      <c r="B2" t="s">
        <v>119</v>
      </c>
    </row>
    <row r="3" spans="1:2">
      <c r="A3" s="86"/>
      <c r="B3" s="86"/>
    </row>
    <row r="4" spans="1:2" ht="89.25">
      <c r="A4" s="86"/>
      <c r="B4" s="86" t="s">
        <v>137</v>
      </c>
    </row>
    <row r="5" spans="1:2">
      <c r="A5" s="86"/>
      <c r="B5" s="86"/>
    </row>
    <row r="6" spans="1:2">
      <c r="A6" s="86"/>
      <c r="B6" s="86" t="s">
        <v>120</v>
      </c>
    </row>
    <row r="7" spans="1:2">
      <c r="A7" s="86"/>
      <c r="B7" s="86"/>
    </row>
    <row r="8" spans="1:2">
      <c r="A8" s="86"/>
      <c r="B8" s="86" t="s">
        <v>121</v>
      </c>
    </row>
    <row r="9" spans="1:2" ht="25.5">
      <c r="A9" s="86"/>
      <c r="B9" s="86" t="s">
        <v>122</v>
      </c>
    </row>
    <row r="10" spans="1:2">
      <c r="A10" s="86"/>
      <c r="B10" s="86" t="s">
        <v>123</v>
      </c>
    </row>
    <row r="11" spans="1:2" ht="25.5">
      <c r="A11" s="86"/>
      <c r="B11" s="86" t="s">
        <v>124</v>
      </c>
    </row>
    <row r="12" spans="1:2" ht="25.5">
      <c r="A12" s="86"/>
      <c r="B12" s="86" t="s">
        <v>125</v>
      </c>
    </row>
    <row r="13" spans="1:2">
      <c r="A13" s="86"/>
      <c r="B13" s="86"/>
    </row>
    <row r="14" spans="1:2">
      <c r="A14" s="86"/>
      <c r="B14" s="86" t="s">
        <v>126</v>
      </c>
    </row>
    <row r="15" spans="1:2">
      <c r="A15" s="86"/>
      <c r="B15" s="86" t="s">
        <v>127</v>
      </c>
    </row>
    <row r="16" spans="1:2" ht="25.5">
      <c r="A16" s="86"/>
      <c r="B16" s="86" t="s">
        <v>128</v>
      </c>
    </row>
    <row r="17" spans="1:2">
      <c r="A17" s="86"/>
      <c r="B17" s="86" t="s">
        <v>129</v>
      </c>
    </row>
    <row r="18" spans="1:2" ht="25.5">
      <c r="A18" s="86"/>
      <c r="B18" s="86" t="s">
        <v>130</v>
      </c>
    </row>
    <row r="19" spans="1:2" ht="25.5">
      <c r="A19" s="86"/>
      <c r="B19" s="86" t="s">
        <v>131</v>
      </c>
    </row>
    <row r="20" spans="1:2" ht="25.5">
      <c r="A20" s="86"/>
      <c r="B20" s="86" t="s">
        <v>132</v>
      </c>
    </row>
    <row r="21" spans="1:2" ht="25.5">
      <c r="A21" s="86"/>
      <c r="B21" s="86" t="s">
        <v>133</v>
      </c>
    </row>
    <row r="22" spans="1:2">
      <c r="A22" s="86"/>
      <c r="B22" s="86"/>
    </row>
    <row r="23" spans="1:2" ht="140.25">
      <c r="A23" s="86"/>
      <c r="B23" s="86" t="s">
        <v>134</v>
      </c>
    </row>
    <row r="24" spans="1:2">
      <c r="A24" s="86"/>
      <c r="B24" s="86"/>
    </row>
    <row r="25" spans="1:2" ht="114.75">
      <c r="A25" s="86"/>
      <c r="B25" s="86" t="s">
        <v>135</v>
      </c>
    </row>
    <row r="26" spans="1:2">
      <c r="A26" s="86"/>
      <c r="B26" s="86"/>
    </row>
    <row r="27" spans="1:2" ht="76.5">
      <c r="A27" s="86"/>
      <c r="B27" s="86" t="s">
        <v>136</v>
      </c>
    </row>
    <row r="28" spans="1:2">
      <c r="A28" s="86"/>
      <c r="B28" s="86"/>
    </row>
    <row r="29" spans="1:2" ht="63.75">
      <c r="A29" s="86"/>
      <c r="B29" s="86" t="s">
        <v>138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DDB74-5FBB-4735-A815-3E0B6E2B50B4}">
  <sheetPr>
    <pageSetUpPr fitToPage="1"/>
  </sheetPr>
  <dimension ref="A1:L52"/>
  <sheetViews>
    <sheetView zoomScaleNormal="100" workbookViewId="0">
      <selection activeCell="A38" sqref="A38:E38"/>
    </sheetView>
  </sheetViews>
  <sheetFormatPr defaultRowHeight="12.75"/>
  <cols>
    <col min="1" max="1" width="30.7109375" customWidth="1"/>
    <col min="2" max="2" width="12.28515625" customWidth="1"/>
    <col min="3" max="3" width="14" customWidth="1"/>
    <col min="4" max="4" width="16.85546875" customWidth="1"/>
    <col min="5" max="6" width="14" customWidth="1"/>
    <col min="7" max="7" width="17.42578125" style="7" customWidth="1"/>
    <col min="8" max="8" width="21.5703125" customWidth="1"/>
    <col min="9" max="9" width="15.7109375" customWidth="1"/>
    <col min="10" max="10" width="11.85546875" customWidth="1"/>
    <col min="11" max="11" width="15.5703125" customWidth="1"/>
  </cols>
  <sheetData>
    <row r="1" spans="1:12">
      <c r="G1" s="6"/>
    </row>
    <row r="2" spans="1:12">
      <c r="A2" s="1" t="s">
        <v>19</v>
      </c>
      <c r="B2" s="1" t="s">
        <v>18</v>
      </c>
      <c r="C2" s="6" t="s">
        <v>16</v>
      </c>
      <c r="D2" s="20" t="s">
        <v>20</v>
      </c>
      <c r="E2" s="20" t="s">
        <v>12</v>
      </c>
      <c r="F2" s="20" t="s">
        <v>17</v>
      </c>
      <c r="G2" s="20" t="s">
        <v>21</v>
      </c>
      <c r="H2" s="20" t="s">
        <v>13</v>
      </c>
      <c r="I2" s="20" t="s">
        <v>22</v>
      </c>
      <c r="J2" s="28" t="s">
        <v>15</v>
      </c>
      <c r="K2" s="20" t="s">
        <v>113</v>
      </c>
    </row>
    <row r="3" spans="1:12">
      <c r="A3" s="66">
        <v>1</v>
      </c>
      <c r="B3" t="s">
        <v>69</v>
      </c>
      <c r="C3" s="5">
        <v>2</v>
      </c>
      <c r="D3" s="67">
        <v>75.5</v>
      </c>
      <c r="E3" s="30">
        <f t="shared" ref="E3:E8" si="0">D3*10.74</f>
        <v>810.87</v>
      </c>
      <c r="F3" s="69">
        <v>320</v>
      </c>
      <c r="G3" s="29">
        <f t="shared" ref="G3:G18" si="1">F3*10.7</f>
        <v>3424</v>
      </c>
      <c r="H3" s="25">
        <f>ROUND(F3*E3,-2)</f>
        <v>259500</v>
      </c>
      <c r="I3" s="70">
        <v>250</v>
      </c>
      <c r="J3" s="5"/>
      <c r="K3" s="71">
        <v>4</v>
      </c>
    </row>
    <row r="4" spans="1:12">
      <c r="A4" s="66">
        <f>A3+1</f>
        <v>2</v>
      </c>
      <c r="B4" t="s">
        <v>69</v>
      </c>
      <c r="C4" s="5">
        <v>2</v>
      </c>
      <c r="D4" s="67">
        <v>73</v>
      </c>
      <c r="E4" s="30">
        <f t="shared" si="0"/>
        <v>784.02</v>
      </c>
      <c r="F4" s="69">
        <v>320</v>
      </c>
      <c r="G4" s="29">
        <f t="shared" si="1"/>
        <v>3424</v>
      </c>
      <c r="H4" s="25">
        <f t="shared" ref="H4:H18" si="2">ROUND(F4*E4,-2)</f>
        <v>250900</v>
      </c>
      <c r="I4" s="70">
        <v>250</v>
      </c>
      <c r="J4" s="5"/>
      <c r="K4" s="71">
        <v>3.7</v>
      </c>
    </row>
    <row r="5" spans="1:12">
      <c r="A5" s="66">
        <f t="shared" ref="A5:A18" si="3">A4+1</f>
        <v>3</v>
      </c>
      <c r="B5" t="s">
        <v>69</v>
      </c>
      <c r="C5" s="5">
        <v>3</v>
      </c>
      <c r="D5" s="67">
        <v>76</v>
      </c>
      <c r="E5" s="30">
        <f t="shared" si="0"/>
        <v>816.24</v>
      </c>
      <c r="F5" s="69">
        <v>350</v>
      </c>
      <c r="G5" s="29">
        <f t="shared" si="1"/>
        <v>3744.9999999999995</v>
      </c>
      <c r="H5" s="25">
        <f t="shared" si="2"/>
        <v>285700</v>
      </c>
      <c r="I5" s="70">
        <v>300</v>
      </c>
      <c r="J5" s="5"/>
      <c r="K5" s="71">
        <v>2.5</v>
      </c>
    </row>
    <row r="6" spans="1:12">
      <c r="A6" s="66">
        <f t="shared" si="3"/>
        <v>4</v>
      </c>
      <c r="B6" t="s">
        <v>69</v>
      </c>
      <c r="C6" s="5">
        <v>2</v>
      </c>
      <c r="D6" s="67">
        <v>74.599999999999994</v>
      </c>
      <c r="E6" s="30">
        <f t="shared" si="0"/>
        <v>801.20399999999995</v>
      </c>
      <c r="F6" s="69">
        <v>320</v>
      </c>
      <c r="G6" s="29">
        <f t="shared" si="1"/>
        <v>3424</v>
      </c>
      <c r="H6" s="25">
        <f t="shared" si="2"/>
        <v>256400</v>
      </c>
      <c r="I6" s="70">
        <v>250</v>
      </c>
      <c r="K6" s="71">
        <v>3.7</v>
      </c>
    </row>
    <row r="7" spans="1:12">
      <c r="A7" s="66">
        <f t="shared" si="3"/>
        <v>5</v>
      </c>
      <c r="B7" t="s">
        <v>40</v>
      </c>
      <c r="C7" s="5">
        <v>2</v>
      </c>
      <c r="D7" s="67">
        <v>66.5</v>
      </c>
      <c r="E7" s="30">
        <f t="shared" si="0"/>
        <v>714.21</v>
      </c>
      <c r="F7" s="69">
        <v>320</v>
      </c>
      <c r="G7" s="29">
        <f t="shared" si="1"/>
        <v>3424</v>
      </c>
      <c r="H7" s="25">
        <f t="shared" si="2"/>
        <v>228500</v>
      </c>
      <c r="I7" s="70">
        <v>250</v>
      </c>
      <c r="J7" s="5"/>
      <c r="K7" s="71">
        <v>2.5</v>
      </c>
    </row>
    <row r="8" spans="1:12">
      <c r="A8" s="66">
        <f t="shared" si="3"/>
        <v>6</v>
      </c>
      <c r="B8" t="s">
        <v>40</v>
      </c>
      <c r="C8">
        <v>3</v>
      </c>
      <c r="D8" s="67">
        <v>83.2</v>
      </c>
      <c r="E8" s="30">
        <f t="shared" si="0"/>
        <v>893.5680000000001</v>
      </c>
      <c r="F8" s="69">
        <v>350</v>
      </c>
      <c r="G8" s="29">
        <f t="shared" si="1"/>
        <v>3744.9999999999995</v>
      </c>
      <c r="H8" s="25">
        <f t="shared" si="2"/>
        <v>312700</v>
      </c>
      <c r="I8" s="70">
        <v>300</v>
      </c>
      <c r="J8" s="5"/>
      <c r="K8" s="71">
        <v>13.2</v>
      </c>
      <c r="L8" s="16"/>
    </row>
    <row r="9" spans="1:12">
      <c r="A9" s="66">
        <f t="shared" si="3"/>
        <v>7</v>
      </c>
      <c r="B9" t="s">
        <v>40</v>
      </c>
      <c r="C9" s="5">
        <v>2</v>
      </c>
      <c r="D9" s="67">
        <v>75.5</v>
      </c>
      <c r="E9" s="30">
        <f t="shared" ref="E9:E14" si="4">D9*10.74</f>
        <v>810.87</v>
      </c>
      <c r="F9" s="69">
        <v>320</v>
      </c>
      <c r="G9" s="29">
        <f t="shared" si="1"/>
        <v>3424</v>
      </c>
      <c r="H9" s="25">
        <f t="shared" si="2"/>
        <v>259500</v>
      </c>
      <c r="I9" s="70">
        <v>250</v>
      </c>
      <c r="J9" s="5"/>
      <c r="K9" s="71">
        <v>4</v>
      </c>
    </row>
    <row r="10" spans="1:12">
      <c r="A10" s="66">
        <f t="shared" si="3"/>
        <v>8</v>
      </c>
      <c r="B10" t="s">
        <v>40</v>
      </c>
      <c r="C10" s="5">
        <v>2</v>
      </c>
      <c r="D10" s="67">
        <v>73</v>
      </c>
      <c r="E10" s="30">
        <f t="shared" si="4"/>
        <v>784.02</v>
      </c>
      <c r="F10" s="69">
        <v>320</v>
      </c>
      <c r="G10" s="29">
        <f t="shared" si="1"/>
        <v>3424</v>
      </c>
      <c r="H10" s="25">
        <f t="shared" si="2"/>
        <v>250900</v>
      </c>
      <c r="I10" s="70">
        <v>250</v>
      </c>
      <c r="J10" s="5"/>
      <c r="K10" s="71">
        <v>3.7</v>
      </c>
    </row>
    <row r="11" spans="1:12">
      <c r="A11" s="66">
        <f t="shared" si="3"/>
        <v>9</v>
      </c>
      <c r="B11" s="5" t="s">
        <v>39</v>
      </c>
      <c r="C11" s="5">
        <v>3</v>
      </c>
      <c r="D11" s="67">
        <v>76</v>
      </c>
      <c r="E11" s="30">
        <f t="shared" si="4"/>
        <v>816.24</v>
      </c>
      <c r="F11" s="69">
        <v>350</v>
      </c>
      <c r="G11" s="29">
        <f t="shared" si="1"/>
        <v>3744.9999999999995</v>
      </c>
      <c r="H11" s="25">
        <f t="shared" si="2"/>
        <v>285700</v>
      </c>
      <c r="I11" s="70">
        <v>300</v>
      </c>
      <c r="J11" s="5"/>
      <c r="K11" s="71">
        <v>2.5</v>
      </c>
    </row>
    <row r="12" spans="1:12">
      <c r="A12" s="66">
        <f t="shared" si="3"/>
        <v>10</v>
      </c>
      <c r="B12" s="5" t="s">
        <v>39</v>
      </c>
      <c r="C12" s="5">
        <v>2</v>
      </c>
      <c r="D12" s="67">
        <v>74.599999999999994</v>
      </c>
      <c r="E12" s="30">
        <f t="shared" si="4"/>
        <v>801.20399999999995</v>
      </c>
      <c r="F12" s="69">
        <v>320</v>
      </c>
      <c r="G12" s="29">
        <f t="shared" si="1"/>
        <v>3424</v>
      </c>
      <c r="H12" s="25">
        <f t="shared" si="2"/>
        <v>256400</v>
      </c>
      <c r="I12" s="70">
        <v>250</v>
      </c>
      <c r="K12" s="71">
        <v>3.7</v>
      </c>
    </row>
    <row r="13" spans="1:12">
      <c r="A13" s="66">
        <f t="shared" si="3"/>
        <v>11</v>
      </c>
      <c r="B13" s="5" t="s">
        <v>39</v>
      </c>
      <c r="C13" s="5">
        <v>2</v>
      </c>
      <c r="D13" s="67">
        <v>66.5</v>
      </c>
      <c r="E13" s="30">
        <f t="shared" si="4"/>
        <v>714.21</v>
      </c>
      <c r="F13" s="69">
        <v>320</v>
      </c>
      <c r="G13" s="29">
        <f t="shared" si="1"/>
        <v>3424</v>
      </c>
      <c r="H13" s="25">
        <f t="shared" si="2"/>
        <v>228500</v>
      </c>
      <c r="I13" s="70">
        <v>250</v>
      </c>
      <c r="J13" s="5"/>
      <c r="K13" s="71">
        <v>2.5</v>
      </c>
    </row>
    <row r="14" spans="1:12">
      <c r="A14" s="66">
        <f t="shared" si="3"/>
        <v>12</v>
      </c>
      <c r="B14" s="5" t="s">
        <v>39</v>
      </c>
      <c r="C14">
        <v>2</v>
      </c>
      <c r="D14" s="67">
        <v>83.2</v>
      </c>
      <c r="E14" s="30">
        <f t="shared" si="4"/>
        <v>893.5680000000001</v>
      </c>
      <c r="F14" s="69">
        <v>320</v>
      </c>
      <c r="G14" s="29">
        <f t="shared" si="1"/>
        <v>3424</v>
      </c>
      <c r="H14" s="25">
        <f t="shared" si="2"/>
        <v>285900</v>
      </c>
      <c r="I14" s="70">
        <v>300</v>
      </c>
      <c r="J14" s="5"/>
      <c r="K14" s="71">
        <v>13.2</v>
      </c>
      <c r="L14" s="16"/>
    </row>
    <row r="15" spans="1:12">
      <c r="A15" s="66">
        <f t="shared" si="3"/>
        <v>13</v>
      </c>
      <c r="B15" s="5" t="s">
        <v>96</v>
      </c>
      <c r="C15" s="5">
        <v>2</v>
      </c>
      <c r="D15" s="67">
        <v>75.5</v>
      </c>
      <c r="E15" s="30">
        <f>D15*10.74</f>
        <v>810.87</v>
      </c>
      <c r="F15" s="69">
        <v>320</v>
      </c>
      <c r="G15" s="29">
        <f t="shared" si="1"/>
        <v>3424</v>
      </c>
      <c r="H15" s="25">
        <f t="shared" si="2"/>
        <v>259500</v>
      </c>
      <c r="I15" s="70">
        <v>250</v>
      </c>
      <c r="J15" s="5"/>
      <c r="K15" s="71">
        <v>4</v>
      </c>
    </row>
    <row r="16" spans="1:12">
      <c r="A16" s="66">
        <f t="shared" si="3"/>
        <v>14</v>
      </c>
      <c r="B16" s="5" t="s">
        <v>96</v>
      </c>
      <c r="C16" s="5">
        <v>2</v>
      </c>
      <c r="D16" s="67">
        <v>73</v>
      </c>
      <c r="E16" s="30">
        <f>D16*10.74</f>
        <v>784.02</v>
      </c>
      <c r="F16" s="69">
        <v>320</v>
      </c>
      <c r="G16" s="29">
        <f t="shared" si="1"/>
        <v>3424</v>
      </c>
      <c r="H16" s="25">
        <f t="shared" si="2"/>
        <v>250900</v>
      </c>
      <c r="I16" s="70">
        <v>250</v>
      </c>
      <c r="J16" s="5"/>
      <c r="K16" s="71">
        <v>3.7</v>
      </c>
    </row>
    <row r="17" spans="1:11">
      <c r="A17" s="66">
        <f t="shared" si="3"/>
        <v>15</v>
      </c>
      <c r="B17" s="5" t="s">
        <v>96</v>
      </c>
      <c r="C17" s="5">
        <v>3</v>
      </c>
      <c r="D17" s="67">
        <v>76</v>
      </c>
      <c r="E17" s="30">
        <f>D17*10.74</f>
        <v>816.24</v>
      </c>
      <c r="F17" s="69">
        <v>350</v>
      </c>
      <c r="G17" s="29">
        <f t="shared" si="1"/>
        <v>3744.9999999999995</v>
      </c>
      <c r="H17" s="25">
        <f t="shared" si="2"/>
        <v>285700</v>
      </c>
      <c r="I17" s="70">
        <v>300</v>
      </c>
      <c r="J17" s="5"/>
      <c r="K17" s="71">
        <v>2.5</v>
      </c>
    </row>
    <row r="18" spans="1:11">
      <c r="A18" s="66">
        <f t="shared" si="3"/>
        <v>16</v>
      </c>
      <c r="B18" s="5" t="s">
        <v>96</v>
      </c>
      <c r="C18" s="5">
        <v>2</v>
      </c>
      <c r="D18" s="67">
        <v>74.599999999999994</v>
      </c>
      <c r="E18" s="30">
        <f>D18*10.74</f>
        <v>801.20399999999995</v>
      </c>
      <c r="F18" s="69">
        <v>320</v>
      </c>
      <c r="G18" s="29">
        <f t="shared" si="1"/>
        <v>3424</v>
      </c>
      <c r="H18" s="25">
        <f t="shared" si="2"/>
        <v>256400</v>
      </c>
      <c r="I18" s="70">
        <v>250</v>
      </c>
      <c r="K18" s="71">
        <v>3.7</v>
      </c>
    </row>
    <row r="19" spans="1:11">
      <c r="A19" s="15" t="s">
        <v>24</v>
      </c>
      <c r="B19" t="s">
        <v>23</v>
      </c>
      <c r="C19" s="68">
        <v>0.215</v>
      </c>
      <c r="D19" s="25">
        <f>SUM(D3:D18)*C19</f>
        <v>257.29049999999995</v>
      </c>
      <c r="E19" s="30">
        <f>D19*10.74</f>
        <v>2763.2999699999996</v>
      </c>
      <c r="F19" s="29"/>
      <c r="G19" s="29"/>
      <c r="H19">
        <v>0</v>
      </c>
      <c r="I19" s="25"/>
      <c r="J19" s="5"/>
    </row>
    <row r="20" spans="1:11">
      <c r="A20" s="15"/>
      <c r="D20" s="30"/>
      <c r="F20" s="29"/>
      <c r="G20" s="29"/>
      <c r="I20" s="25"/>
      <c r="J20" s="5"/>
    </row>
    <row r="21" spans="1:11" s="1" customFormat="1">
      <c r="A21" s="28" t="s">
        <v>67</v>
      </c>
      <c r="D21" s="31">
        <f>SUM(D15:D19)</f>
        <v>556.39049999999997</v>
      </c>
      <c r="E21" s="31">
        <f>SUM(E3:E19)</f>
        <v>15615.857969999999</v>
      </c>
      <c r="F21" s="24">
        <f>H21/E21</f>
        <v>269.79625506929483</v>
      </c>
      <c r="G21" s="27"/>
      <c r="H21" s="10">
        <f>SUM(H3:H19)</f>
        <v>4213100</v>
      </c>
      <c r="I21" s="24">
        <f>SUM(I3:I19)</f>
        <v>4250</v>
      </c>
    </row>
    <row r="22" spans="1:11" s="1" customFormat="1">
      <c r="A22" s="28"/>
      <c r="D22" s="31"/>
      <c r="E22" s="31"/>
      <c r="F22" s="27"/>
      <c r="G22" s="27"/>
      <c r="I22" s="24"/>
    </row>
    <row r="23" spans="1:11" s="1" customFormat="1">
      <c r="A23" s="28" t="s">
        <v>65</v>
      </c>
      <c r="D23" s="31"/>
      <c r="E23" s="31"/>
      <c r="F23" s="27"/>
      <c r="G23" s="27"/>
      <c r="H23" s="10">
        <f>I21/5%</f>
        <v>85000</v>
      </c>
      <c r="I23" s="24"/>
    </row>
    <row r="24" spans="1:11">
      <c r="A24" s="1"/>
      <c r="B24" s="1"/>
      <c r="C24" s="1"/>
      <c r="D24" s="1"/>
      <c r="E24" s="1"/>
      <c r="F24" s="1"/>
    </row>
    <row r="25" spans="1:11" s="1" customFormat="1">
      <c r="A25" s="28" t="s">
        <v>66</v>
      </c>
      <c r="D25" s="31"/>
      <c r="E25" s="31"/>
      <c r="F25" s="27"/>
      <c r="G25" s="27"/>
      <c r="H25" s="24">
        <f>SUM(H21:H23)</f>
        <v>4298100</v>
      </c>
      <c r="I25" s="24"/>
    </row>
    <row r="26" spans="1:11">
      <c r="A26" s="1"/>
      <c r="B26" s="1"/>
      <c r="C26" s="1"/>
      <c r="D26" s="1"/>
      <c r="E26" s="1"/>
      <c r="F26" s="1"/>
    </row>
    <row r="27" spans="1:11">
      <c r="A27" s="1"/>
      <c r="B27" s="1"/>
      <c r="C27" s="1"/>
      <c r="D27" s="1"/>
      <c r="E27" s="1"/>
      <c r="F27" s="1"/>
      <c r="G27" s="8"/>
    </row>
    <row r="28" spans="1:11">
      <c r="A28" s="1" t="s">
        <v>14</v>
      </c>
      <c r="B28" s="20" t="s">
        <v>12</v>
      </c>
      <c r="C28" s="20" t="s">
        <v>5</v>
      </c>
      <c r="D28" s="1"/>
      <c r="E28" s="1"/>
      <c r="F28" s="1"/>
      <c r="G28" s="34"/>
      <c r="H28" s="16"/>
      <c r="J28" s="16"/>
    </row>
    <row r="29" spans="1:11">
      <c r="A29" s="5" t="s">
        <v>30</v>
      </c>
      <c r="B29" s="27">
        <f>SUM(E3:E18)</f>
        <v>12852.557999999999</v>
      </c>
      <c r="C29" s="72">
        <v>160</v>
      </c>
      <c r="D29" s="27">
        <f>B29*C29</f>
        <v>2056409.2799999998</v>
      </c>
      <c r="E29" s="27"/>
      <c r="F29" s="27"/>
      <c r="G29" s="18"/>
      <c r="H29" s="33"/>
      <c r="I29" s="26"/>
    </row>
    <row r="30" spans="1:11">
      <c r="A30" s="5" t="s">
        <v>70</v>
      </c>
      <c r="B30" s="27">
        <f>SUM(E19:E19)</f>
        <v>2763.2999699999996</v>
      </c>
      <c r="C30" s="72">
        <v>75</v>
      </c>
      <c r="D30" s="27">
        <f>B30*C30</f>
        <v>207247.49774999998</v>
      </c>
      <c r="E30" s="27">
        <f>SUM(D29:D30)</f>
        <v>2263656.7777499999</v>
      </c>
      <c r="F30" s="27"/>
      <c r="G30" s="18"/>
      <c r="H30" s="33"/>
      <c r="I30" s="26"/>
    </row>
    <row r="31" spans="1:11">
      <c r="A31" s="5" t="s">
        <v>97</v>
      </c>
      <c r="B31" s="27">
        <v>1</v>
      </c>
      <c r="C31" s="72">
        <v>100000</v>
      </c>
      <c r="D31" s="27">
        <f>C31*B31</f>
        <v>100000</v>
      </c>
      <c r="E31" s="27"/>
      <c r="F31" s="27"/>
      <c r="G31" s="18"/>
      <c r="H31" s="33"/>
      <c r="I31" s="26"/>
    </row>
    <row r="32" spans="1:11">
      <c r="A32" s="5" t="s">
        <v>47</v>
      </c>
      <c r="B32" s="18"/>
      <c r="C32" s="73">
        <v>0</v>
      </c>
      <c r="D32" s="27">
        <f>SUM(D29:D31)*C32</f>
        <v>0</v>
      </c>
      <c r="G32"/>
      <c r="H32" s="35"/>
    </row>
    <row r="33" spans="1:10">
      <c r="D33" s="25"/>
      <c r="E33" s="10"/>
      <c r="F33" s="10"/>
      <c r="G33" s="10"/>
      <c r="H33" s="7"/>
    </row>
    <row r="34" spans="1:10">
      <c r="A34" s="1" t="s">
        <v>0</v>
      </c>
      <c r="B34" s="1"/>
      <c r="C34" s="22">
        <f>D34/E21</f>
        <v>151.36259450430953</v>
      </c>
      <c r="D34" s="24">
        <f>SUM(D29:D33)</f>
        <v>2363656.7777499999</v>
      </c>
    </row>
    <row r="36" spans="1:10">
      <c r="C36" s="14"/>
      <c r="F36" s="25"/>
      <c r="G36"/>
      <c r="H36" s="7"/>
      <c r="I36" s="7"/>
    </row>
    <row r="37" spans="1:10">
      <c r="A37" s="28" t="s">
        <v>62</v>
      </c>
      <c r="B37" s="28" t="s">
        <v>18</v>
      </c>
      <c r="C37" s="20" t="s">
        <v>12</v>
      </c>
      <c r="D37" s="20" t="s">
        <v>13</v>
      </c>
      <c r="E37" s="20" t="s">
        <v>5</v>
      </c>
      <c r="G37" s="25"/>
      <c r="I37" s="7"/>
      <c r="J37" s="7"/>
    </row>
    <row r="38" spans="1:10">
      <c r="A38" s="74" t="s">
        <v>114</v>
      </c>
      <c r="B38" s="74">
        <v>1</v>
      </c>
      <c r="C38" s="75">
        <v>750</v>
      </c>
      <c r="D38" s="70">
        <v>250000</v>
      </c>
      <c r="E38" s="76">
        <f>D38/C38</f>
        <v>333.33333333333331</v>
      </c>
      <c r="F38" s="53"/>
      <c r="G38" s="25"/>
      <c r="I38" s="7"/>
      <c r="J38" s="7"/>
    </row>
    <row r="39" spans="1:10">
      <c r="A39" s="52"/>
      <c r="B39" s="52"/>
      <c r="C39" s="27"/>
      <c r="E39" s="51"/>
      <c r="F39" s="53"/>
      <c r="G39" s="25"/>
      <c r="I39" s="7"/>
      <c r="J39" s="7"/>
    </row>
    <row r="40" spans="1:10">
      <c r="A40" s="52"/>
      <c r="B40" s="52"/>
      <c r="C40" s="27"/>
      <c r="E40" s="51"/>
      <c r="F40" s="54"/>
      <c r="G40" s="25"/>
      <c r="I40" s="7"/>
      <c r="J40" s="7"/>
    </row>
    <row r="41" spans="1:10">
      <c r="A41" s="52"/>
      <c r="B41" s="52"/>
      <c r="C41" s="27"/>
      <c r="E41" s="51"/>
      <c r="F41" s="56"/>
      <c r="G41" s="25"/>
      <c r="I41" s="7"/>
      <c r="J41" s="7"/>
    </row>
    <row r="42" spans="1:10">
      <c r="A42" s="52"/>
      <c r="B42" s="52"/>
      <c r="C42" s="27"/>
      <c r="E42" s="51"/>
      <c r="F42" s="53"/>
      <c r="G42" s="25"/>
      <c r="I42" s="7"/>
      <c r="J42" s="7"/>
    </row>
    <row r="43" spans="1:10">
      <c r="A43" s="15"/>
      <c r="F43" s="25"/>
      <c r="G43"/>
      <c r="H43" s="7"/>
      <c r="I43" s="7"/>
    </row>
    <row r="44" spans="1:10">
      <c r="A44" s="15"/>
      <c r="F44" s="25"/>
      <c r="G44"/>
      <c r="H44" s="7"/>
      <c r="I44" s="7"/>
    </row>
    <row r="45" spans="1:10">
      <c r="A45" s="15"/>
      <c r="F45" s="25"/>
      <c r="G45"/>
      <c r="H45" s="7"/>
      <c r="I45" s="7"/>
    </row>
    <row r="46" spans="1:10">
      <c r="A46" s="15"/>
      <c r="F46" s="25"/>
      <c r="G46"/>
      <c r="H46" s="7"/>
      <c r="I46" s="7"/>
    </row>
    <row r="47" spans="1:10">
      <c r="A47" s="15"/>
      <c r="F47" s="25"/>
      <c r="G47"/>
      <c r="H47" s="7"/>
      <c r="I47" s="7"/>
    </row>
    <row r="48" spans="1:10">
      <c r="A48" s="15"/>
      <c r="F48" s="25"/>
      <c r="G48"/>
      <c r="H48" s="7"/>
      <c r="I48" s="7"/>
    </row>
    <row r="49" spans="1:9">
      <c r="A49" s="15"/>
      <c r="F49" s="25"/>
      <c r="G49"/>
      <c r="H49" s="7"/>
      <c r="I49" s="7"/>
    </row>
    <row r="50" spans="1:9">
      <c r="A50" s="15"/>
      <c r="F50" s="25"/>
      <c r="G50"/>
      <c r="H50" s="7"/>
      <c r="I50" s="7"/>
    </row>
    <row r="51" spans="1:9">
      <c r="A51" s="15"/>
      <c r="F51" s="25"/>
      <c r="G51"/>
      <c r="H51" s="7"/>
      <c r="I51" s="7"/>
    </row>
    <row r="52" spans="1:9">
      <c r="A52" s="15"/>
      <c r="G52" s="25"/>
    </row>
  </sheetData>
  <phoneticPr fontId="0" type="noConversion"/>
  <pageMargins left="0.74803149606299213" right="0.74803149606299213" top="1.1811023622047245" bottom="0.55118110236220474" header="0.35433070866141736" footer="0.31496062992125984"/>
  <pageSetup paperSize="9" scale="70" orientation="landscape" horizontalDpi="4294967293" verticalDpi="300" r:id="rId1"/>
  <headerFooter alignWithMargins="0">
    <oddHeader>&amp;C&amp;18&amp;USales and Costs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9B9D-8DA9-4AE2-8D94-060CEC63F3AD}">
  <sheetPr>
    <pageSetUpPr fitToPage="1"/>
  </sheetPr>
  <dimension ref="A2:J60"/>
  <sheetViews>
    <sheetView zoomScaleNormal="100" workbookViewId="0">
      <selection activeCell="C2" sqref="C2"/>
    </sheetView>
  </sheetViews>
  <sheetFormatPr defaultRowHeight="12.75"/>
  <cols>
    <col min="1" max="1" width="40.42578125" customWidth="1"/>
    <col min="2" max="2" width="13.85546875" customWidth="1"/>
    <col min="3" max="3" width="11.42578125" customWidth="1"/>
    <col min="4" max="4" width="16.140625" customWidth="1"/>
    <col min="5" max="5" width="26.42578125" customWidth="1"/>
    <col min="6" max="6" width="6.28515625" customWidth="1"/>
    <col min="7" max="7" width="18.140625" customWidth="1"/>
    <col min="8" max="8" width="19.140625" customWidth="1"/>
    <col min="9" max="9" width="14.140625" customWidth="1"/>
    <col min="10" max="10" width="12.7109375" customWidth="1"/>
  </cols>
  <sheetData>
    <row r="2" spans="1:9">
      <c r="A2" t="s">
        <v>28</v>
      </c>
      <c r="B2" s="77">
        <v>0.18</v>
      </c>
    </row>
    <row r="3" spans="1:9">
      <c r="A3" t="s">
        <v>29</v>
      </c>
      <c r="B3" s="78">
        <v>1</v>
      </c>
      <c r="D3" s="6" t="s">
        <v>7</v>
      </c>
      <c r="E3" s="20" t="s">
        <v>5</v>
      </c>
    </row>
    <row r="4" spans="1:9">
      <c r="D4" s="3"/>
      <c r="E4" s="3"/>
    </row>
    <row r="5" spans="1:9">
      <c r="A5" s="1" t="s">
        <v>2</v>
      </c>
      <c r="B5" s="20" t="s">
        <v>9</v>
      </c>
      <c r="D5" s="2">
        <f>Sell!D34</f>
        <v>2363656.7777499999</v>
      </c>
      <c r="E5" s="23">
        <f>D5/Sell!E21</f>
        <v>151.36259450430953</v>
      </c>
    </row>
    <row r="6" spans="1:9">
      <c r="A6" s="1"/>
      <c r="B6" s="20"/>
      <c r="D6" s="2"/>
      <c r="E6" s="23"/>
    </row>
    <row r="7" spans="1:9">
      <c r="A7" s="1" t="s">
        <v>56</v>
      </c>
      <c r="D7" s="2"/>
      <c r="E7" s="2"/>
      <c r="G7" s="1" t="s">
        <v>57</v>
      </c>
      <c r="I7" s="20" t="s">
        <v>5</v>
      </c>
    </row>
    <row r="8" spans="1:9">
      <c r="A8" t="s">
        <v>8</v>
      </c>
      <c r="C8" s="79">
        <v>7.0000000000000007E-2</v>
      </c>
      <c r="D8" s="17">
        <f>D5*C8</f>
        <v>165455.97444250001</v>
      </c>
      <c r="E8" s="17"/>
      <c r="G8" t="s">
        <v>45</v>
      </c>
      <c r="H8" s="19">
        <f>D5+D8+D14</f>
        <v>2647295.5910800002</v>
      </c>
      <c r="I8" s="55">
        <f>H8/Sell!E21</f>
        <v>169.52610584482667</v>
      </c>
    </row>
    <row r="9" spans="1:9">
      <c r="A9" t="s">
        <v>48</v>
      </c>
      <c r="C9" s="79">
        <v>1.4999999999999999E-2</v>
      </c>
      <c r="D9" s="17">
        <f>C9*E35</f>
        <v>18300</v>
      </c>
      <c r="E9" s="17" t="s">
        <v>50</v>
      </c>
      <c r="G9" t="s">
        <v>49</v>
      </c>
      <c r="H9" s="19">
        <f>D18+D9+D15+D19</f>
        <v>618900</v>
      </c>
      <c r="I9" s="19"/>
    </row>
    <row r="10" spans="1:9">
      <c r="A10" s="5" t="s">
        <v>41</v>
      </c>
      <c r="C10" s="79">
        <v>2.2499999999999999E-2</v>
      </c>
      <c r="D10" s="17">
        <f>C10*D22</f>
        <v>96707.25</v>
      </c>
      <c r="E10" s="17" t="s">
        <v>68</v>
      </c>
      <c r="G10" t="s">
        <v>53</v>
      </c>
      <c r="H10" s="19">
        <f>D12+D11</f>
        <v>122474.85851501136</v>
      </c>
    </row>
    <row r="11" spans="1:9">
      <c r="A11" t="s">
        <v>6</v>
      </c>
      <c r="B11" s="72">
        <v>18</v>
      </c>
      <c r="C11" s="79">
        <v>6.5000000000000002E-2</v>
      </c>
      <c r="D11" s="17">
        <f>-FV(C11/12,B11,0,D31)-D31</f>
        <v>10753.385648147654</v>
      </c>
      <c r="E11" s="48"/>
      <c r="G11" t="s">
        <v>52</v>
      </c>
      <c r="H11" s="19">
        <f>D10</f>
        <v>96707.25</v>
      </c>
      <c r="I11" s="19"/>
    </row>
    <row r="12" spans="1:9">
      <c r="A12" t="s">
        <v>3</v>
      </c>
      <c r="B12" s="72">
        <v>15</v>
      </c>
      <c r="C12" s="79">
        <v>6.5000000000000002E-2</v>
      </c>
      <c r="D12" s="17">
        <f>(-FV(C12/12,B12,0,D32)-D32)/2</f>
        <v>111721.47286686371</v>
      </c>
      <c r="E12" s="17"/>
      <c r="G12" t="s">
        <v>54</v>
      </c>
      <c r="H12" s="19">
        <f>D13</f>
        <v>85962</v>
      </c>
      <c r="I12" s="19">
        <f>SUM(H10:H12)</f>
        <v>305144.10851501138</v>
      </c>
    </row>
    <row r="13" spans="1:9">
      <c r="A13" s="15" t="s">
        <v>10</v>
      </c>
      <c r="C13" s="79">
        <v>0.02</v>
      </c>
      <c r="D13" s="17">
        <f>C13*$D$22</f>
        <v>85962</v>
      </c>
      <c r="E13" s="17"/>
      <c r="H13" s="19"/>
    </row>
    <row r="14" spans="1:9">
      <c r="A14" t="s">
        <v>11</v>
      </c>
      <c r="C14" s="79">
        <v>0.05</v>
      </c>
      <c r="D14" s="17">
        <f>C14*$D$5</f>
        <v>118182.83888749999</v>
      </c>
      <c r="E14" s="17"/>
      <c r="G14" s="1" t="s">
        <v>51</v>
      </c>
      <c r="H14" s="21">
        <f>SUM(H8:H12)</f>
        <v>3571339.6995950113</v>
      </c>
    </row>
    <row r="15" spans="1:9">
      <c r="A15" s="5" t="s">
        <v>83</v>
      </c>
      <c r="D15" s="9">
        <v>0</v>
      </c>
      <c r="E15" s="5"/>
      <c r="H15" s="19"/>
    </row>
    <row r="16" spans="1:9">
      <c r="A16" s="1" t="s">
        <v>4</v>
      </c>
      <c r="B16" s="1"/>
      <c r="C16" s="12"/>
      <c r="D16" s="2">
        <f>SUM(D5:D15)</f>
        <v>2970739.6995950113</v>
      </c>
      <c r="E16" s="2"/>
      <c r="H16" s="19"/>
    </row>
    <row r="17" spans="1:8" s="1" customFormat="1">
      <c r="A17" s="1" t="s">
        <v>26</v>
      </c>
      <c r="C17" s="13"/>
      <c r="D17" s="2">
        <v>520000</v>
      </c>
      <c r="E17" s="17" t="s">
        <v>149</v>
      </c>
      <c r="G17"/>
      <c r="H17" s="19"/>
    </row>
    <row r="18" spans="1:8">
      <c r="A18" s="1" t="s">
        <v>71</v>
      </c>
      <c r="B18" s="1"/>
      <c r="C18" s="13"/>
      <c r="D18" s="2">
        <v>585000</v>
      </c>
      <c r="E18" s="17" t="s">
        <v>152</v>
      </c>
      <c r="F18" s="1"/>
      <c r="G18" s="19"/>
      <c r="H18" s="47"/>
    </row>
    <row r="19" spans="1:8">
      <c r="A19" s="5" t="s">
        <v>27</v>
      </c>
      <c r="B19" s="1"/>
      <c r="C19" s="80">
        <v>0.03</v>
      </c>
      <c r="D19" s="17">
        <f>C19*D17</f>
        <v>15600</v>
      </c>
      <c r="E19" s="38" t="s">
        <v>150</v>
      </c>
      <c r="F19" s="1"/>
      <c r="G19" s="19"/>
      <c r="H19" s="47"/>
    </row>
    <row r="20" spans="1:8">
      <c r="A20" s="1" t="s">
        <v>0</v>
      </c>
      <c r="B20" s="1"/>
      <c r="C20" s="13"/>
      <c r="D20" s="2">
        <f>SUM(D18:D19)+D16</f>
        <v>3571339.6995950113</v>
      </c>
      <c r="E20" s="2"/>
      <c r="G20" s="19"/>
      <c r="H20" s="47"/>
    </row>
    <row r="21" spans="1:8">
      <c r="A21" s="1"/>
      <c r="B21" s="1"/>
      <c r="C21" s="13"/>
      <c r="D21" s="2"/>
      <c r="E21" s="2"/>
      <c r="G21" s="1"/>
      <c r="H21" s="55"/>
    </row>
    <row r="22" spans="1:8">
      <c r="A22" s="1" t="s">
        <v>1</v>
      </c>
      <c r="B22" s="1"/>
      <c r="C22" s="1"/>
      <c r="D22" s="2">
        <f>Sell!H25</f>
        <v>4298100</v>
      </c>
      <c r="E22" s="23">
        <f>D22/Sell!E21</f>
        <v>275.23943982182624</v>
      </c>
    </row>
    <row r="23" spans="1:8">
      <c r="A23" s="1" t="s">
        <v>72</v>
      </c>
      <c r="B23" s="1"/>
      <c r="C23" s="13">
        <f>D23/D22</f>
        <v>0.16908873697796437</v>
      </c>
      <c r="D23" s="2">
        <f>D22-D20</f>
        <v>726760.30040498869</v>
      </c>
      <c r="E23" s="2"/>
    </row>
    <row r="24" spans="1:8" s="1" customFormat="1">
      <c r="A24" s="1" t="s">
        <v>73</v>
      </c>
      <c r="C24" s="13">
        <f>D23/D20</f>
        <v>0.20349794797941037</v>
      </c>
      <c r="D24" s="2"/>
      <c r="E24" s="2"/>
      <c r="F24" s="10"/>
      <c r="G24"/>
      <c r="H24"/>
    </row>
    <row r="25" spans="1:8" s="1" customFormat="1">
      <c r="A25"/>
      <c r="B25"/>
      <c r="C25"/>
      <c r="D25" s="14"/>
      <c r="E25" s="14"/>
      <c r="F25" s="10"/>
      <c r="G25"/>
      <c r="H25"/>
    </row>
    <row r="26" spans="1:8">
      <c r="A26" s="1" t="s">
        <v>60</v>
      </c>
      <c r="B26" s="1"/>
      <c r="C26" s="1"/>
      <c r="D26" s="10">
        <f>D16+D18-D13-D10</f>
        <v>3373070.4495950113</v>
      </c>
      <c r="E26" s="1" t="s">
        <v>61</v>
      </c>
    </row>
    <row r="27" spans="1:8">
      <c r="D27" s="19"/>
      <c r="G27" s="1"/>
      <c r="H27" s="1"/>
    </row>
    <row r="28" spans="1:8" s="1" customFormat="1">
      <c r="A28" s="1" t="s">
        <v>58</v>
      </c>
      <c r="B28"/>
      <c r="C28"/>
      <c r="D28" s="19"/>
      <c r="E28"/>
      <c r="G28" s="5"/>
      <c r="H28"/>
    </row>
    <row r="29" spans="1:8">
      <c r="A29" t="s">
        <v>80</v>
      </c>
      <c r="C29" s="11"/>
      <c r="D29" s="3">
        <f>D26-D35-D30</f>
        <v>139100</v>
      </c>
      <c r="E29" t="s">
        <v>91</v>
      </c>
    </row>
    <row r="30" spans="1:8">
      <c r="A30" t="s">
        <v>77</v>
      </c>
      <c r="C30" s="11"/>
      <c r="D30" s="3">
        <v>325000</v>
      </c>
      <c r="G30" s="1"/>
    </row>
    <row r="31" spans="1:8">
      <c r="A31" t="s">
        <v>42</v>
      </c>
      <c r="D31" s="19">
        <f>D18*B2</f>
        <v>105300</v>
      </c>
      <c r="E31" s="19"/>
      <c r="G31" s="1"/>
    </row>
    <row r="32" spans="1:8">
      <c r="A32" t="s">
        <v>43</v>
      </c>
      <c r="D32" s="19">
        <f>H8</f>
        <v>2647295.5910800002</v>
      </c>
      <c r="E32" s="19"/>
      <c r="F32" s="11"/>
      <c r="G32" s="5"/>
    </row>
    <row r="33" spans="1:10">
      <c r="A33" t="s">
        <v>55</v>
      </c>
      <c r="D33" s="19">
        <f>H10</f>
        <v>122474.85851501136</v>
      </c>
      <c r="E33" s="19"/>
      <c r="G33" s="58"/>
      <c r="H33" s="4"/>
      <c r="I33" s="57"/>
      <c r="J33" s="16"/>
    </row>
    <row r="34" spans="1:10">
      <c r="A34" s="5" t="s">
        <v>64</v>
      </c>
      <c r="D34" s="19">
        <f>H9-D18</f>
        <v>33900</v>
      </c>
      <c r="E34" s="19"/>
      <c r="H34" s="4"/>
      <c r="I34" s="57"/>
      <c r="J34" s="16"/>
    </row>
    <row r="35" spans="1:10">
      <c r="A35" s="1" t="s">
        <v>44</v>
      </c>
      <c r="B35" s="1"/>
      <c r="C35" s="1"/>
      <c r="D35" s="21">
        <f>SUM(D31:D34)</f>
        <v>2908970.4495950113</v>
      </c>
      <c r="E35" s="19">
        <v>1220000</v>
      </c>
      <c r="G35" s="47"/>
      <c r="I35" s="16"/>
    </row>
    <row r="36" spans="1:10">
      <c r="A36" s="1" t="s">
        <v>74</v>
      </c>
      <c r="B36" s="1"/>
      <c r="C36" s="1"/>
      <c r="D36" s="21">
        <f>D35-D9-D11-D12</f>
        <v>2768195.5910799997</v>
      </c>
      <c r="E36" s="19"/>
    </row>
    <row r="37" spans="1:10">
      <c r="A37" s="5" t="s">
        <v>84</v>
      </c>
      <c r="B37" s="1"/>
      <c r="C37" s="81">
        <v>1.4999999999999999E-2</v>
      </c>
      <c r="D37" s="64">
        <f>(D30+D39)*C38</f>
        <v>6191.25</v>
      </c>
      <c r="E37" s="19"/>
    </row>
    <row r="38" spans="1:10">
      <c r="A38" s="5" t="s">
        <v>85</v>
      </c>
      <c r="B38" s="1"/>
      <c r="C38" s="81">
        <v>1.4999999999999999E-2</v>
      </c>
      <c r="D38" s="64">
        <f>(D30+D39)*C38</f>
        <v>6191.25</v>
      </c>
      <c r="E38" s="64" t="s">
        <v>86</v>
      </c>
    </row>
    <row r="39" spans="1:10">
      <c r="A39" s="5" t="s">
        <v>82</v>
      </c>
      <c r="B39" s="1"/>
      <c r="C39" s="81">
        <v>0.18</v>
      </c>
      <c r="D39" s="64">
        <f>D30*C39*(B11/12)</f>
        <v>87750</v>
      </c>
      <c r="E39" s="64"/>
    </row>
    <row r="40" spans="1:10">
      <c r="A40" s="1" t="s">
        <v>59</v>
      </c>
      <c r="B40" s="1"/>
      <c r="C40" s="1"/>
      <c r="D40" s="21">
        <f>D35+D29+D30+SUM(D37:D39)</f>
        <v>3473202.9495950113</v>
      </c>
      <c r="E40" s="19"/>
    </row>
    <row r="41" spans="1:10">
      <c r="A41" s="1" t="s">
        <v>87</v>
      </c>
      <c r="B41" s="1"/>
      <c r="C41" s="1"/>
      <c r="D41" s="21">
        <f>D22-D40+D29</f>
        <v>963997.05040498869</v>
      </c>
      <c r="E41" s="21"/>
      <c r="G41" s="47"/>
      <c r="H41" s="4"/>
      <c r="I41" s="57"/>
      <c r="J41" s="16"/>
    </row>
    <row r="42" spans="1:10" s="1" customFormat="1">
      <c r="A42"/>
      <c r="B42"/>
      <c r="C42" s="20"/>
      <c r="D42" s="62"/>
      <c r="E42" s="19"/>
    </row>
    <row r="43" spans="1:10">
      <c r="A43" s="5" t="s">
        <v>79</v>
      </c>
      <c r="C43" s="11"/>
      <c r="D43" s="46">
        <f>D35/D26</f>
        <v>0.86241022625076735</v>
      </c>
      <c r="E43" s="19"/>
    </row>
    <row r="44" spans="1:10">
      <c r="A44" t="s">
        <v>46</v>
      </c>
      <c r="C44" s="32"/>
      <c r="D44" s="46">
        <f>D35/D22</f>
        <v>0.67680380856541522</v>
      </c>
      <c r="J44" s="16"/>
    </row>
    <row r="45" spans="1:10">
      <c r="A45" t="s">
        <v>75</v>
      </c>
      <c r="C45" s="32"/>
      <c r="D45" s="46">
        <f>D36/D22</f>
        <v>0.64405099720341541</v>
      </c>
    </row>
    <row r="46" spans="1:10">
      <c r="C46" s="4"/>
      <c r="D46" s="3"/>
      <c r="E46" s="14"/>
    </row>
    <row r="47" spans="1:10">
      <c r="A47" s="5" t="s">
        <v>90</v>
      </c>
      <c r="B47" s="5"/>
      <c r="C47" s="5"/>
      <c r="D47" s="63">
        <f>(D35+D30+SUM(D37:D39))/D20</f>
        <v>0.93357205699953361</v>
      </c>
      <c r="E47" s="5"/>
    </row>
    <row r="48" spans="1:10" s="5" customFormat="1">
      <c r="A48" s="5" t="s">
        <v>81</v>
      </c>
      <c r="D48" s="63">
        <f>(D35+D30)/D22</f>
        <v>0.75241861510784103</v>
      </c>
      <c r="E48"/>
    </row>
    <row r="49" spans="1:7">
      <c r="A49" s="5" t="s">
        <v>95</v>
      </c>
      <c r="B49" s="5"/>
      <c r="C49" s="5"/>
      <c r="D49" s="63">
        <f>(D35+D30+D39+SUM(D37:D38))/D22</f>
        <v>0.77571553700356233</v>
      </c>
      <c r="E49" s="59"/>
    </row>
    <row r="50" spans="1:7">
      <c r="A50" s="1"/>
      <c r="B50" s="1"/>
      <c r="C50" s="12"/>
      <c r="D50" s="24"/>
      <c r="E50" s="20"/>
      <c r="F50" s="11"/>
      <c r="G50" s="5"/>
    </row>
    <row r="51" spans="1:7" s="1" customFormat="1">
      <c r="A51" s="5" t="s">
        <v>88</v>
      </c>
      <c r="B51"/>
      <c r="C51"/>
      <c r="D51" s="46">
        <f>D29/D20</f>
        <v>3.8948969210566523E-2</v>
      </c>
      <c r="E51" s="14"/>
      <c r="F51" s="12"/>
    </row>
    <row r="52" spans="1:7">
      <c r="A52" s="1"/>
      <c r="B52" s="20"/>
      <c r="C52" s="20"/>
      <c r="D52" s="60"/>
    </row>
    <row r="54" spans="1:7">
      <c r="A54" t="s">
        <v>76</v>
      </c>
      <c r="B54" t="s">
        <v>77</v>
      </c>
      <c r="C54" s="72">
        <v>5000</v>
      </c>
    </row>
    <row r="55" spans="1:7">
      <c r="B55" t="s">
        <v>78</v>
      </c>
      <c r="C55" s="72">
        <v>5000</v>
      </c>
    </row>
    <row r="56" spans="1:7">
      <c r="B56" s="5" t="s">
        <v>116</v>
      </c>
      <c r="C56" s="72">
        <v>2000</v>
      </c>
    </row>
    <row r="58" spans="1:7">
      <c r="A58" s="1" t="s">
        <v>92</v>
      </c>
      <c r="C58" s="61">
        <f>(D58/(D31+D32*75%))/B11*12</f>
        <v>7.5723909111294743E-2</v>
      </c>
      <c r="D58" s="2">
        <f>D12+D11+D9+D10</f>
        <v>237482.10851501138</v>
      </c>
      <c r="E58" s="5" t="s">
        <v>89</v>
      </c>
    </row>
    <row r="59" spans="1:7">
      <c r="A59" s="1" t="s">
        <v>94</v>
      </c>
      <c r="C59" s="61">
        <f>(D59/D30)/B11*12</f>
        <v>0.20539999999999997</v>
      </c>
      <c r="D59" s="21">
        <f>SUM(D37:D39)</f>
        <v>100132.5</v>
      </c>
      <c r="E59" s="5" t="s">
        <v>89</v>
      </c>
    </row>
    <row r="60" spans="1:7">
      <c r="A60" s="1" t="s">
        <v>93</v>
      </c>
      <c r="C60" s="61">
        <f>(D60/(D31+D32*75%+D30))/B11*12</f>
        <v>9.3169568258448715E-2</v>
      </c>
      <c r="D60" s="21">
        <f>SUM(D58:D59)</f>
        <v>337614.60851501138</v>
      </c>
      <c r="E60" s="64"/>
    </row>
  </sheetData>
  <phoneticPr fontId="0" type="noConversion"/>
  <pageMargins left="0.74803149606299213" right="0.74803149606299213" top="1.2778125" bottom="0.98425196850393704" header="0.51181102362204722" footer="0.51181102362204722"/>
  <pageSetup paperSize="9" scale="77" orientation="landscape" horizontalDpi="4294967293" verticalDpi="300" r:id="rId1"/>
  <headerFooter alignWithMargins="0">
    <oddHeader>&amp;C&amp;18&amp;USummary Appraisal as at &amp;D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45397-D7A2-4A00-9C88-66CDB28D32CB}">
  <sheetPr>
    <pageSetUpPr fitToPage="1"/>
  </sheetPr>
  <dimension ref="A2:H40"/>
  <sheetViews>
    <sheetView workbookViewId="0">
      <selection activeCell="G23" sqref="G23:G24"/>
    </sheetView>
  </sheetViews>
  <sheetFormatPr defaultRowHeight="12.75"/>
  <cols>
    <col min="1" max="1" width="40.42578125" customWidth="1"/>
    <col min="3" max="3" width="11.42578125" customWidth="1"/>
    <col min="4" max="4" width="16.140625" customWidth="1"/>
    <col min="5" max="5" width="19.85546875" customWidth="1"/>
    <col min="6" max="6" width="6.28515625" customWidth="1"/>
    <col min="7" max="7" width="12.28515625" customWidth="1"/>
    <col min="8" max="8" width="17" customWidth="1"/>
    <col min="9" max="9" width="11.7109375" customWidth="1"/>
  </cols>
  <sheetData>
    <row r="2" spans="1:8">
      <c r="D2" s="6" t="s">
        <v>7</v>
      </c>
      <c r="E2" s="6" t="s">
        <v>5</v>
      </c>
    </row>
    <row r="4" spans="1:8" s="1" customFormat="1">
      <c r="A4" s="1" t="s">
        <v>1</v>
      </c>
      <c r="D4" s="36">
        <f>Sell!H25</f>
        <v>4298100</v>
      </c>
      <c r="E4" s="36">
        <f>D4/Sell!E21</f>
        <v>275.23943982182624</v>
      </c>
      <c r="F4" s="10"/>
    </row>
    <row r="5" spans="1:8">
      <c r="D5" s="37"/>
      <c r="E5" s="37"/>
    </row>
    <row r="6" spans="1:8">
      <c r="A6" s="1" t="s">
        <v>2</v>
      </c>
      <c r="D6" s="36">
        <f>Sell!D34</f>
        <v>2363656.7777499999</v>
      </c>
      <c r="E6" s="49">
        <f>D6/Sell!E21</f>
        <v>151.36259450430953</v>
      </c>
    </row>
    <row r="7" spans="1:8">
      <c r="D7" s="36"/>
      <c r="E7" s="36"/>
    </row>
    <row r="8" spans="1:8">
      <c r="A8" t="s">
        <v>8</v>
      </c>
      <c r="C8" s="4">
        <v>0.05</v>
      </c>
      <c r="D8" s="38">
        <f>D6*C8</f>
        <v>118182.83888749999</v>
      </c>
      <c r="E8" s="38"/>
      <c r="G8" t="s">
        <v>31</v>
      </c>
      <c r="H8" s="19">
        <f>D8+D6</f>
        <v>2481839.6166375</v>
      </c>
    </row>
    <row r="9" spans="1:8">
      <c r="A9" t="s">
        <v>6</v>
      </c>
      <c r="B9">
        <v>12</v>
      </c>
      <c r="C9" s="4">
        <v>0.06</v>
      </c>
      <c r="D9" s="38">
        <f>D22*C9*B9/12</f>
        <v>34800</v>
      </c>
      <c r="E9" s="38"/>
      <c r="G9" t="s">
        <v>32</v>
      </c>
      <c r="H9" s="19">
        <f>SUM(D9:D13+D18)</f>
        <v>56010</v>
      </c>
    </row>
    <row r="10" spans="1:8">
      <c r="A10" t="s">
        <v>3</v>
      </c>
      <c r="B10">
        <v>10</v>
      </c>
      <c r="C10" s="4">
        <v>0.06</v>
      </c>
      <c r="D10" s="38">
        <f>D6*C10*0.5*B10/12</f>
        <v>59091.419443749997</v>
      </c>
      <c r="E10" s="38"/>
      <c r="G10" t="s">
        <v>25</v>
      </c>
      <c r="H10" s="19">
        <f>D4-D22-SUM(H8:H9)-D18</f>
        <v>1159040.3833625</v>
      </c>
    </row>
    <row r="11" spans="1:8">
      <c r="A11" s="15" t="s">
        <v>10</v>
      </c>
      <c r="C11" s="4">
        <v>0.02</v>
      </c>
      <c r="D11" s="38">
        <f>C11*$D$4</f>
        <v>85962</v>
      </c>
      <c r="E11" s="38"/>
    </row>
    <row r="12" spans="1:8">
      <c r="A12" t="s">
        <v>11</v>
      </c>
      <c r="C12" s="4">
        <v>0.05</v>
      </c>
      <c r="D12" s="38">
        <f>C12*$D$6</f>
        <v>118182.83888749999</v>
      </c>
      <c r="E12" s="38"/>
      <c r="G12" s="19"/>
    </row>
    <row r="13" spans="1:8" s="1" customFormat="1">
      <c r="A13" s="5" t="s">
        <v>83</v>
      </c>
      <c r="B13"/>
      <c r="C13"/>
      <c r="D13" s="39">
        <v>52400</v>
      </c>
      <c r="E13"/>
    </row>
    <row r="14" spans="1:8">
      <c r="A14" s="1" t="s">
        <v>4</v>
      </c>
      <c r="B14" s="1"/>
      <c r="C14" s="12"/>
      <c r="D14" s="36">
        <f>SUM(D6:D13)</f>
        <v>2832275.8749687499</v>
      </c>
      <c r="E14" s="36">
        <f>D14+D22</f>
        <v>3412275.8749687499</v>
      </c>
      <c r="F14" s="1"/>
    </row>
    <row r="15" spans="1:8" s="1" customFormat="1">
      <c r="A15" t="s">
        <v>33</v>
      </c>
      <c r="B15"/>
      <c r="C15" s="82">
        <v>0.2</v>
      </c>
      <c r="D15" s="38">
        <f>C15*D4</f>
        <v>859620</v>
      </c>
      <c r="E15" s="40" t="s">
        <v>153</v>
      </c>
      <c r="F15"/>
      <c r="G15"/>
    </row>
    <row r="16" spans="1:8">
      <c r="A16" s="1" t="s">
        <v>0</v>
      </c>
      <c r="B16" s="1"/>
      <c r="C16" s="13"/>
      <c r="D16" s="36">
        <f>D14+D15</f>
        <v>3691895.8749687499</v>
      </c>
      <c r="E16" s="36"/>
      <c r="F16" s="1"/>
    </row>
    <row r="17" spans="1:7">
      <c r="A17" s="1" t="s">
        <v>34</v>
      </c>
      <c r="B17" s="1"/>
      <c r="C17" s="13"/>
      <c r="D17" s="36">
        <f>1000*ROUND((D4-D16)/1000,0)</f>
        <v>606000</v>
      </c>
      <c r="E17" s="36"/>
    </row>
    <row r="18" spans="1:7">
      <c r="A18" s="5" t="s">
        <v>35</v>
      </c>
      <c r="B18" s="1"/>
      <c r="C18" s="50">
        <v>3.5000000000000003E-2</v>
      </c>
      <c r="D18" s="38">
        <f>D17*C18</f>
        <v>21210.000000000004</v>
      </c>
      <c r="E18" s="38" t="s">
        <v>63</v>
      </c>
    </row>
    <row r="19" spans="1:7">
      <c r="A19" s="1" t="s">
        <v>36</v>
      </c>
      <c r="B19" s="1"/>
      <c r="C19" s="13"/>
      <c r="D19" s="36">
        <f>D17-D18</f>
        <v>584790</v>
      </c>
      <c r="E19" s="36"/>
    </row>
    <row r="20" spans="1:7">
      <c r="A20" s="1"/>
      <c r="B20" s="1"/>
      <c r="C20" s="13"/>
      <c r="D20" s="36"/>
      <c r="E20" s="36"/>
    </row>
    <row r="21" spans="1:7">
      <c r="A21" s="1"/>
      <c r="B21" s="1"/>
      <c r="C21" s="13"/>
      <c r="D21" s="36"/>
      <c r="E21" s="36"/>
      <c r="G21" s="5"/>
    </row>
    <row r="22" spans="1:7">
      <c r="A22" s="1" t="s">
        <v>117</v>
      </c>
      <c r="B22" s="1"/>
      <c r="C22" s="13"/>
      <c r="D22" s="83">
        <v>580000</v>
      </c>
      <c r="E22" s="38" t="s">
        <v>151</v>
      </c>
    </row>
    <row r="23" spans="1:7">
      <c r="D23" s="36"/>
      <c r="E23" s="36"/>
    </row>
    <row r="24" spans="1:7">
      <c r="A24" s="1" t="s">
        <v>37</v>
      </c>
      <c r="B24" s="41"/>
      <c r="C24" s="42"/>
      <c r="D24" s="21">
        <f>D22-400000+D14-D18-D11</f>
        <v>2905103.8749687499</v>
      </c>
      <c r="F24" s="42"/>
    </row>
    <row r="25" spans="1:7">
      <c r="A25" s="1" t="s">
        <v>38</v>
      </c>
      <c r="B25" s="41"/>
      <c r="C25" s="42"/>
      <c r="D25" s="43">
        <f>D24/D4</f>
        <v>0.67590420766588721</v>
      </c>
      <c r="F25" s="42"/>
    </row>
    <row r="26" spans="1:7">
      <c r="A26" s="5"/>
      <c r="B26" s="41"/>
      <c r="C26" s="44"/>
      <c r="D26" s="18"/>
      <c r="F26" s="42"/>
    </row>
    <row r="27" spans="1:7">
      <c r="C27" s="44"/>
      <c r="D27" s="19"/>
    </row>
    <row r="28" spans="1:7">
      <c r="A28" s="5"/>
      <c r="C28" s="42"/>
      <c r="F28" s="42"/>
    </row>
    <row r="29" spans="1:7">
      <c r="D29" s="14"/>
    </row>
    <row r="30" spans="1:7">
      <c r="D30" s="14"/>
    </row>
    <row r="31" spans="1:7">
      <c r="D31" s="14"/>
    </row>
    <row r="33" spans="3:4">
      <c r="D33" s="45"/>
    </row>
    <row r="36" spans="3:4">
      <c r="C36" s="11"/>
      <c r="D36" s="19"/>
    </row>
    <row r="38" spans="3:4">
      <c r="D38" s="37"/>
    </row>
    <row r="39" spans="3:4">
      <c r="C39" s="4"/>
      <c r="D39" s="37"/>
    </row>
    <row r="40" spans="3:4">
      <c r="D40" s="37"/>
    </row>
  </sheetData>
  <pageMargins left="0.75" right="0.75" top="1.06" bottom="1" header="0.5" footer="0.5"/>
  <pageSetup paperSize="9" orientation="landscape" horizontalDpi="4294967293" verticalDpi="300" r:id="rId1"/>
  <headerFooter alignWithMargins="0">
    <oddHeader>&amp;C&amp;18&amp;UValuation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2544294-4995-4579-9a93-accf8287ab7a" xsi:nil="true"/>
    <lcf76f155ced4ddcb4097134ff3c332f xmlns="5403ad1f-df80-4cbd-8de6-c657b0b5a0a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679A044979E2B42A0FF3B73BD00A1E8" ma:contentTypeVersion="13" ma:contentTypeDescription="Create a new document." ma:contentTypeScope="" ma:versionID="93e0d19742410bb1ba1529f52abc9064">
  <xsd:schema xmlns:xsd="http://www.w3.org/2001/XMLSchema" xmlns:xs="http://www.w3.org/2001/XMLSchema" xmlns:p="http://schemas.microsoft.com/office/2006/metadata/properties" xmlns:ns2="5403ad1f-df80-4cbd-8de6-c657b0b5a0a9" xmlns:ns3="c2544294-4995-4579-9a93-accf8287ab7a" targetNamespace="http://schemas.microsoft.com/office/2006/metadata/properties" ma:root="true" ma:fieldsID="4698f65bbd5c5bf9413ff35ab9de9dc1" ns2:_="" ns3:_="">
    <xsd:import namespace="5403ad1f-df80-4cbd-8de6-c657b0b5a0a9"/>
    <xsd:import namespace="c2544294-4995-4579-9a93-accf8287ab7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03ad1f-df80-4cbd-8de6-c657b0b5a0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5806876e-c704-4f4c-bb78-5a27b750edf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544294-4995-4579-9a93-accf8287ab7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15cf9a43-008d-498c-baad-af273b58690b}" ma:internalName="TaxCatchAll" ma:showField="CatchAllData" ma:web="c2544294-4995-4579-9a93-accf8287ab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FAE15B-E803-4F12-8ED1-84518BA02B88}">
  <ds:schemaRefs>
    <ds:schemaRef ds:uri="http://schemas.microsoft.com/sharepoint/v3/contenttype/forms"/>
  </ds:schemaRefs>
</ds:datastoreItem>
</file>

<file path=customXml/itemProps2.xml><?xml version="1.0" encoding="utf-8"?>
<ds:datastoreItem xmlns:ds="http://schemas.openxmlformats.org/officeDocument/2006/customXml" ds:itemID="{88C24877-3EE9-4F97-A82F-A35E0AB00F76}">
  <ds:schemaRefs>
    <ds:schemaRef ds:uri="http://schemas.microsoft.com/office/2006/metadata/properties"/>
    <ds:schemaRef ds:uri="http://schemas.microsoft.com/office/infopath/2007/PartnerControls"/>
    <ds:schemaRef ds:uri="c2544294-4995-4579-9a93-accf8287ab7a"/>
    <ds:schemaRef ds:uri="5403ad1f-df80-4cbd-8de6-c657b0b5a0a9"/>
  </ds:schemaRefs>
</ds:datastoreItem>
</file>

<file path=customXml/itemProps3.xml><?xml version="1.0" encoding="utf-8"?>
<ds:datastoreItem xmlns:ds="http://schemas.openxmlformats.org/officeDocument/2006/customXml" ds:itemID="{BBAAB165-6D76-407B-AB78-F4A1E3F345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03ad1f-df80-4cbd-8de6-c657b0b5a0a9"/>
    <ds:schemaRef ds:uri="c2544294-4995-4579-9a93-accf8287ab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README</vt:lpstr>
      <vt:lpstr>License</vt:lpstr>
      <vt:lpstr>Sell</vt:lpstr>
      <vt:lpstr>P&amp;L</vt:lpstr>
      <vt:lpstr>Valuation</vt:lpstr>
      <vt:lpstr>'P&amp;L'!Print_Area</vt:lpstr>
    </vt:vector>
  </TitlesOfParts>
  <Company>Motion Media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dc:creator>
  <cp:lastModifiedBy>Evan Maindonald</cp:lastModifiedBy>
  <cp:lastPrinted>2016-11-04T00:33:31Z</cp:lastPrinted>
  <dcterms:created xsi:type="dcterms:W3CDTF">2002-07-18T10:34:10Z</dcterms:created>
  <dcterms:modified xsi:type="dcterms:W3CDTF">2024-11-19T21:36:19Z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0x0101000679A044979E2B42A0FF3B73BD00A1E8</vt:lpwstr>
  </property>
</Properties>
</file>